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ucinha\Desktop\SIMULADOR MCMV\"/>
    </mc:Choice>
  </mc:AlternateContent>
  <xr:revisionPtr revIDLastSave="0" documentId="8_{C7F15214-FA01-3142-9D8E-626C1165F3CA}" xr6:coauthVersionLast="45" xr6:coauthVersionMax="45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SIMULADOR" sheetId="1" r:id="rId1"/>
    <sheet name="Parametros" sheetId="3" state="hidden" r:id="rId2"/>
    <sheet name="Planilha1" sheetId="4" state="hidden" r:id="rId3"/>
  </sheets>
  <definedNames>
    <definedName name="_Order1" hidden="1">255</definedName>
    <definedName name="_Order2" hidden="1">255</definedName>
    <definedName name="_xlnm.Print_Area">#REF!</definedName>
    <definedName name="TORREA">#REF!</definedName>
    <definedName name="TORREB">#REF!</definedName>
    <definedName name="TORREC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F4" i="1"/>
  <c r="B12" i="1"/>
  <c r="E10" i="1"/>
  <c r="B21" i="1"/>
  <c r="E8" i="1"/>
  <c r="E13" i="1"/>
  <c r="E16" i="1"/>
  <c r="E19" i="1"/>
  <c r="E9" i="1"/>
  <c r="F9" i="1"/>
  <c r="E6" i="1"/>
  <c r="G1" i="1"/>
  <c r="F16" i="3"/>
  <c r="E18" i="1"/>
  <c r="F19" i="1"/>
  <c r="B2" i="1"/>
  <c r="E11" i="1"/>
  <c r="B4" i="1"/>
  <c r="E12" i="1"/>
  <c r="F12" i="1"/>
  <c r="N14" i="1"/>
  <c r="E17" i="1"/>
  <c r="E21" i="1"/>
  <c r="G19" i="1"/>
  <c r="F11" i="1"/>
  <c r="N15" i="1"/>
  <c r="F17" i="1"/>
  <c r="H16" i="1"/>
  <c r="K16" i="1"/>
  <c r="H22" i="1"/>
  <c r="K22" i="1"/>
  <c r="H25" i="1"/>
  <c r="K25" i="1"/>
  <c r="H23" i="1"/>
  <c r="K23" i="1"/>
  <c r="H24" i="1"/>
  <c r="K24" i="1"/>
  <c r="H13" i="1"/>
  <c r="K13" i="1"/>
  <c r="H10" i="1"/>
  <c r="K10" i="1"/>
  <c r="H12" i="1"/>
  <c r="K12" i="1"/>
  <c r="H4" i="1"/>
  <c r="K4" i="1"/>
  <c r="H19" i="1"/>
  <c r="K19" i="1"/>
  <c r="H15" i="1"/>
  <c r="K15" i="1"/>
  <c r="H7" i="1"/>
  <c r="K7" i="1"/>
  <c r="H14" i="1"/>
  <c r="K14" i="1"/>
  <c r="H6" i="1"/>
  <c r="K6" i="1"/>
  <c r="H21" i="1"/>
  <c r="K21" i="1"/>
  <c r="H3" i="1"/>
  <c r="K3" i="1"/>
  <c r="H20" i="1"/>
  <c r="K20" i="1"/>
  <c r="H11" i="1"/>
  <c r="K11" i="1"/>
  <c r="H18" i="1"/>
  <c r="K18" i="1"/>
  <c r="H17" i="1"/>
  <c r="K17" i="1"/>
  <c r="H8" i="1"/>
  <c r="K8" i="1"/>
  <c r="H5" i="1"/>
  <c r="K5" i="1"/>
  <c r="H9" i="1"/>
  <c r="K9" i="1"/>
  <c r="L8" i="1"/>
  <c r="L13" i="1"/>
  <c r="L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Boucinha</author>
  </authors>
  <commentList>
    <comment ref="A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Caso o cliente possua renda inferior a 7.000, mas já possua imovel ele será enqudrado no SBPE</t>
        </r>
      </text>
    </comment>
  </commentList>
</comments>
</file>

<file path=xl/sharedStrings.xml><?xml version="1.0" encoding="utf-8"?>
<sst xmlns="http://schemas.openxmlformats.org/spreadsheetml/2006/main" count="75" uniqueCount="69">
  <si>
    <t>SAC</t>
  </si>
  <si>
    <t>PRICE</t>
  </si>
  <si>
    <t>Sim</t>
  </si>
  <si>
    <t>Parametros</t>
  </si>
  <si>
    <t>Não</t>
  </si>
  <si>
    <t>DIF</t>
  </si>
  <si>
    <t>FINANCIAMENTO =  ( PARCELA - UNIDADE *DFI ) / (1/PRAZO + JUROS + MIP)</t>
  </si>
  <si>
    <t>PARCELA = PGTO(TAXA;PRAZO;VF) + VF*DFI + UNIDADE*MIP</t>
  </si>
  <si>
    <t>PMT = PV * [(1+JUROS)^N * JUROS)] / (1+JUROS)^N -1</t>
  </si>
  <si>
    <t>PV = PMT / [(1+JUROS)^N * JUROS)] / (1+JUROS)^N -1</t>
  </si>
  <si>
    <t>Pgto Comissão</t>
  </si>
  <si>
    <t>Retira da entrada</t>
  </si>
  <si>
    <t>50% do fluxo</t>
  </si>
  <si>
    <t>Nome Cliente:</t>
  </si>
  <si>
    <t>Data Nascimento:</t>
  </si>
  <si>
    <t>Renda Familiar:</t>
  </si>
  <si>
    <t>Quantidade de Proponentes:</t>
  </si>
  <si>
    <t>Possui Dependente:</t>
  </si>
  <si>
    <t>Possui 3 anos de FGTS:</t>
  </si>
  <si>
    <t>Valor de FGTS:</t>
  </si>
  <si>
    <t>Comissão:</t>
  </si>
  <si>
    <t>Valor de subsídio</t>
  </si>
  <si>
    <t>Valor Máx. SAC</t>
  </si>
  <si>
    <t>Valor Máx. PRICE</t>
  </si>
  <si>
    <t>Valor Compra Venda</t>
  </si>
  <si>
    <t>Compra e Venda</t>
  </si>
  <si>
    <t>Subsídio (-)</t>
  </si>
  <si>
    <t>FGTS (-)</t>
  </si>
  <si>
    <t>Valor Avaliação CEF</t>
  </si>
  <si>
    <t>Prestação</t>
  </si>
  <si>
    <t>Taxa de Juros</t>
  </si>
  <si>
    <t>TAXA CONTRATO</t>
  </si>
  <si>
    <t>Diferença $$$</t>
  </si>
  <si>
    <t>Idade considerada</t>
  </si>
  <si>
    <t>Prazo</t>
  </si>
  <si>
    <t>* Somente os campos em branco podem ser editados</t>
  </si>
  <si>
    <t>Curva teorica de obra (PRICE) sem TR</t>
  </si>
  <si>
    <t>Valor Fração Terreno</t>
  </si>
  <si>
    <t>*Os resultados obtidos representam apenas uma simulação e não valem como proposta</t>
  </si>
  <si>
    <t>conforme mudanças no cronograma</t>
  </si>
  <si>
    <t>* Valores sujeitos à alteração</t>
  </si>
  <si>
    <t>Prestação Price</t>
  </si>
  <si>
    <t>Joselitta</t>
  </si>
  <si>
    <t>Avaliação CEF</t>
  </si>
  <si>
    <t>Tipologia</t>
  </si>
  <si>
    <t>Quantid.</t>
  </si>
  <si>
    <t>Área Quadro NBR 12.721 (col 23)</t>
  </si>
  <si>
    <t>Descrição da UH</t>
  </si>
  <si>
    <t>Valor Proposto</t>
  </si>
  <si>
    <t>Valor Avaliado</t>
  </si>
  <si>
    <t>VGV</t>
  </si>
  <si>
    <t>Tipo 1</t>
  </si>
  <si>
    <t>Torre 1 e 2, 2 dorms, 0 vaga</t>
  </si>
  <si>
    <t>Tipo 2</t>
  </si>
  <si>
    <t>Torre 1 e 2, 2 dorms, 1 vaga</t>
  </si>
  <si>
    <t>Tipo da Unidade</t>
  </si>
  <si>
    <t xml:space="preserve">email : </t>
  </si>
  <si>
    <t>copiando:</t>
  </si>
  <si>
    <t>creditovibra@vibraresidencial.com.br</t>
  </si>
  <si>
    <t>MCMV</t>
  </si>
  <si>
    <t>DFI SBPE</t>
  </si>
  <si>
    <t>CCA A SER EVIADA A PASTA:</t>
  </si>
  <si>
    <t>Cliente possui Imovel</t>
  </si>
  <si>
    <t>Taxa Juros Cheia</t>
  </si>
  <si>
    <t>Opção do cliente:</t>
  </si>
  <si>
    <t>Max.  (-)</t>
  </si>
  <si>
    <t>Versão 2019 v.10/2019</t>
  </si>
  <si>
    <t>35,86 m2</t>
  </si>
  <si>
    <t>26,4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</si>
</sst>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  <numFmt numFmtId="165" formatCode="0.0000%"/>
    <numFmt numFmtId="166" formatCode="0.000000000%"/>
    <numFmt numFmtId="167" formatCode="_-&quot;R$&quot;\ * #,##0.00_-;\-&quot;R$&quot;\ * #,##0.00_-;_-&quot;R$&quot;\ * &quot;-&quot;??_-;_-@_-"/>
    <numFmt numFmtId="168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Segoe UI"/>
      <family val="2"/>
    </font>
    <font>
      <b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7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  <diagonal/>
    </border>
    <border>
      <left/>
      <right/>
      <top style="hair">
        <color rgb="FFFF66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Fill="1" applyProtection="1">
      <protection hidden="1"/>
    </xf>
    <xf numFmtId="10" fontId="0" fillId="0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Protection="1">
      <protection hidden="1"/>
    </xf>
    <xf numFmtId="44" fontId="3" fillId="2" borderId="1" xfId="2" applyFont="1" applyFill="1" applyBorder="1" applyAlignment="1" applyProtection="1">
      <alignment vertical="center"/>
      <protection hidden="1"/>
    </xf>
    <xf numFmtId="10" fontId="3" fillId="2" borderId="1" xfId="1" applyNumberFormat="1" applyFont="1" applyFill="1" applyBorder="1" applyAlignment="1" applyProtection="1">
      <alignment horizontal="center"/>
      <protection hidden="1"/>
    </xf>
    <xf numFmtId="0" fontId="3" fillId="2" borderId="1" xfId="0" applyNumberFormat="1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44" fontId="4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10" fontId="4" fillId="0" borderId="0" xfId="1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44" fontId="2" fillId="0" borderId="0" xfId="0" applyNumberFormat="1" applyFont="1" applyProtection="1">
      <protection hidden="1"/>
    </xf>
    <xf numFmtId="44" fontId="5" fillId="2" borderId="1" xfId="0" applyNumberFormat="1" applyFont="1" applyFill="1" applyBorder="1" applyProtection="1">
      <protection hidden="1"/>
    </xf>
    <xf numFmtId="43" fontId="2" fillId="0" borderId="0" xfId="3" applyFont="1" applyFill="1" applyProtection="1">
      <protection hidden="1"/>
    </xf>
    <xf numFmtId="43" fontId="2" fillId="0" borderId="0" xfId="1" applyNumberFormat="1" applyFont="1" applyFill="1" applyProtection="1">
      <protection hidden="1"/>
    </xf>
    <xf numFmtId="44" fontId="3" fillId="3" borderId="0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43" fontId="2" fillId="0" borderId="0" xfId="3" applyFont="1" applyProtection="1">
      <protection hidden="1"/>
    </xf>
    <xf numFmtId="43" fontId="3" fillId="2" borderId="1" xfId="3" applyFont="1" applyFill="1" applyBorder="1" applyProtection="1">
      <protection hidden="1"/>
    </xf>
    <xf numFmtId="0" fontId="6" fillId="0" borderId="0" xfId="0" applyFont="1" applyProtection="1">
      <protection hidden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8" fontId="7" fillId="0" borderId="6" xfId="0" applyNumberFormat="1" applyFont="1" applyBorder="1" applyAlignment="1">
      <alignment wrapText="1"/>
    </xf>
    <xf numFmtId="8" fontId="7" fillId="4" borderId="6" xfId="0" applyNumberFormat="1" applyFont="1" applyFill="1" applyBorder="1" applyAlignment="1">
      <alignment wrapText="1"/>
    </xf>
    <xf numFmtId="0" fontId="3" fillId="0" borderId="0" xfId="0" applyFont="1" applyAlignment="1" applyProtection="1">
      <alignment vertical="top" wrapText="1"/>
      <protection hidden="1"/>
    </xf>
    <xf numFmtId="44" fontId="2" fillId="0" borderId="0" xfId="0" applyNumberFormat="1" applyFont="1" applyFill="1" applyProtection="1">
      <protection hidden="1"/>
    </xf>
    <xf numFmtId="44" fontId="2" fillId="0" borderId="2" xfId="2" applyFont="1" applyFill="1" applyBorder="1" applyAlignment="1" applyProtection="1">
      <alignment vertical="center"/>
      <protection hidden="1"/>
    </xf>
    <xf numFmtId="0" fontId="9" fillId="0" borderId="1" xfId="0" applyFont="1" applyBorder="1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9" fontId="2" fillId="0" borderId="0" xfId="1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8" fontId="6" fillId="0" borderId="0" xfId="0" applyNumberFormat="1" applyFont="1" applyProtection="1">
      <protection hidden="1"/>
    </xf>
    <xf numFmtId="44" fontId="4" fillId="3" borderId="0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10" fontId="2" fillId="0" borderId="0" xfId="1" applyNumberFormat="1" applyFont="1" applyFill="1" applyProtection="1">
      <protection hidden="1"/>
    </xf>
    <xf numFmtId="43" fontId="2" fillId="0" borderId="0" xfId="0" applyNumberFormat="1" applyFont="1" applyFill="1" applyProtection="1">
      <protection hidden="1"/>
    </xf>
    <xf numFmtId="10" fontId="3" fillId="2" borderId="1" xfId="1" applyNumberFormat="1" applyFont="1" applyFill="1" applyBorder="1" applyProtection="1">
      <protection hidden="1"/>
    </xf>
    <xf numFmtId="0" fontId="9" fillId="0" borderId="1" xfId="0" applyFont="1" applyBorder="1" applyAlignment="1" applyProtection="1">
      <alignment horizontal="right"/>
      <protection locked="0"/>
    </xf>
    <xf numFmtId="44" fontId="9" fillId="0" borderId="1" xfId="2" applyFont="1" applyBorder="1" applyAlignment="1" applyProtection="1">
      <alignment vertical="center"/>
      <protection locked="0"/>
    </xf>
    <xf numFmtId="14" fontId="9" fillId="0" borderId="1" xfId="2" applyNumberFormat="1" applyFont="1" applyBorder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0" fontId="9" fillId="0" borderId="1" xfId="1" applyNumberFormat="1" applyFont="1" applyBorder="1" applyAlignment="1" applyProtection="1">
      <alignment horizontal="center"/>
      <protection locked="0"/>
    </xf>
    <xf numFmtId="43" fontId="6" fillId="0" borderId="0" xfId="1" applyNumberFormat="1" applyFont="1" applyFill="1" applyProtection="1">
      <protection hidden="1"/>
    </xf>
    <xf numFmtId="44" fontId="6" fillId="0" borderId="0" xfId="0" applyNumberFormat="1" applyFont="1" applyProtection="1">
      <protection hidden="1"/>
    </xf>
    <xf numFmtId="44" fontId="6" fillId="0" borderId="0" xfId="0" applyNumberFormat="1" applyFont="1" applyFill="1" applyProtection="1">
      <protection hidden="1"/>
    </xf>
    <xf numFmtId="43" fontId="6" fillId="0" borderId="0" xfId="3" applyFont="1" applyProtection="1">
      <protection hidden="1"/>
    </xf>
    <xf numFmtId="0" fontId="6" fillId="3" borderId="0" xfId="0" applyFont="1" applyFill="1" applyProtection="1"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168" fontId="3" fillId="2" borderId="1" xfId="3" applyNumberFormat="1" applyFont="1" applyFill="1" applyBorder="1" applyProtection="1">
      <protection hidden="1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3" fillId="5" borderId="0" xfId="0" applyFont="1" applyFill="1" applyAlignment="1" applyProtection="1">
      <alignment horizontal="center" vertical="center" wrapText="1"/>
      <protection hidden="1"/>
    </xf>
    <xf numFmtId="0" fontId="14" fillId="5" borderId="0" xfId="0" applyFont="1" applyFill="1" applyAlignment="1" applyProtection="1">
      <alignment horizontal="center" vertical="center" wrapText="1"/>
      <protection hidden="1"/>
    </xf>
  </cellXfs>
  <cellStyles count="12">
    <cellStyle name="Moeda" xfId="2" builtinId="4"/>
    <cellStyle name="Moeda 2" xfId="5" xr:uid="{BF094065-FDA3-4F07-9634-E25AC6A824BE}"/>
    <cellStyle name="Moeda 3" xfId="6" xr:uid="{761ADDA6-DD38-4788-A2CC-F5FE586CB877}"/>
    <cellStyle name="Moeda 4" xfId="7" xr:uid="{632465C0-E506-4BE3-98E6-855D4EAA9624}"/>
    <cellStyle name="Moeda 4 2" xfId="10" xr:uid="{62C0274E-ACDA-48BF-9302-1A86D5D29192}"/>
    <cellStyle name="Normal" xfId="0" builtinId="0"/>
    <cellStyle name="Porcentagem" xfId="1" builtinId="5"/>
    <cellStyle name="Vírgula" xfId="3" builtinId="3"/>
    <cellStyle name="Vírgula 2" xfId="4" xr:uid="{8FFA5D43-EE2E-4459-89AA-CA64034475E7}"/>
    <cellStyle name="Vírgula 5" xfId="8" xr:uid="{E99CC816-4F30-476C-BFE9-50C262893A8D}"/>
    <cellStyle name="Vírgula 5 2" xfId="9" xr:uid="{4BDED35C-8D1C-4F2F-84E7-339721F629CA}"/>
    <cellStyle name="Vírgula 8" xfId="11" xr:uid="{34BFA704-E0CE-4D92-8C0B-95462EFB90F5}"/>
  </cellStyles>
  <dxfs count="0"/>
  <tableStyles count="0" defaultTableStyle="TableStyleMedium2" defaultPivotStyle="PivotStyleLight16"/>
  <colors>
    <mruColors>
      <color rgb="FFFF6600"/>
      <color rgb="FF66FF66"/>
      <color rgb="FF99FF66"/>
      <color rgb="FF66FF33"/>
      <color rgb="FF5B5BFF"/>
      <color rgb="FF3333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1646464</xdr:colOff>
      <xdr:row>5</xdr:row>
      <xdr:rowOff>261937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159427-7687-4F52-B3B4-F76265A70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56214" cy="129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creditovibra@vibraresidencial.com.br" TargetMode="External" /><Relationship Id="rId5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showGridLines="0" tabSelected="1" topLeftCell="B1" zoomScale="70" zoomScaleNormal="70" workbookViewId="0">
      <selection activeCell="F15" sqref="F15"/>
    </sheetView>
  </sheetViews>
  <sheetFormatPr defaultColWidth="9.14453125" defaultRowHeight="15"/>
  <cols>
    <col min="1" max="1" width="27.171875" style="5" customWidth="1"/>
    <col min="2" max="2" width="31.87890625" style="5" customWidth="1"/>
    <col min="3" max="3" width="7.6640625" style="5" customWidth="1"/>
    <col min="4" max="4" width="27.0390625" style="5" customWidth="1"/>
    <col min="5" max="5" width="23.67578125" style="5" customWidth="1"/>
    <col min="6" max="6" width="21.1171875" style="5" customWidth="1"/>
    <col min="7" max="7" width="18.6953125" style="5" customWidth="1"/>
    <col min="8" max="8" width="14.2578125" style="5" customWidth="1"/>
    <col min="9" max="9" width="15.33203125" style="5" customWidth="1"/>
    <col min="10" max="10" width="14.2578125" style="5" customWidth="1"/>
    <col min="11" max="11" width="15.73828125" style="5" customWidth="1"/>
    <col min="12" max="12" width="15.87109375" style="13" bestFit="1" customWidth="1"/>
    <col min="13" max="14" width="15.87109375" style="13" customWidth="1"/>
    <col min="15" max="15" width="11.97265625" style="3" customWidth="1"/>
    <col min="16" max="16" width="11.97265625" style="4" customWidth="1"/>
    <col min="17" max="17" width="12.10546875" style="5" bestFit="1" customWidth="1"/>
    <col min="18" max="18" width="10.0859375" style="5" bestFit="1" customWidth="1"/>
    <col min="19" max="16384" width="9.14453125" style="5"/>
  </cols>
  <sheetData>
    <row r="1" spans="1:15" ht="15" customHeight="1">
      <c r="A1" s="28"/>
      <c r="B1" s="40"/>
      <c r="C1" s="28"/>
      <c r="D1" s="65" t="s">
        <v>38</v>
      </c>
      <c r="E1" s="65"/>
      <c r="F1" s="65"/>
      <c r="G1" s="22">
        <f>B17*B20</f>
        <v>10800</v>
      </c>
      <c r="H1" s="6" t="s">
        <v>36</v>
      </c>
      <c r="I1" s="6"/>
      <c r="J1" s="6"/>
      <c r="K1" s="6"/>
      <c r="L1" s="12"/>
      <c r="M1" s="3"/>
      <c r="N1" s="3"/>
    </row>
    <row r="2" spans="1:15" ht="15" customHeight="1">
      <c r="A2" s="45"/>
      <c r="B2" s="26">
        <f ca="1">PV(E8/12,$E$10,($B$10*0.3-$B$21*IF(AND(B10&lt;=7000,B18="NÃO"),Parametros!$J$1,Parametros!$R$1)-IF(OR($B$10&gt;4000,B18="SIM"),Parametros!$J$2,0))+PV(E8/12,$E$10,($B$10*0.3-$B$21*IF(AND(B10&lt;=7000,B18="NÃO"),Parametros!$J$1,Parametros!$R$1)),0,0)*IF(AND(B10&lt;=7000,B18="NÃO"),VLOOKUP($B$12,Parametros!$E$1:$F$11,2,1),VLOOKUP($B$12,Parametros!$T$1:$U$11,2,1)),0,0)*-1</f>
        <v>132183.72454561247</v>
      </c>
      <c r="C2" s="28"/>
      <c r="D2" s="65"/>
      <c r="E2" s="65"/>
      <c r="F2" s="65"/>
      <c r="G2" s="57"/>
      <c r="H2" s="6"/>
      <c r="I2" s="6"/>
      <c r="J2" s="6"/>
      <c r="K2" s="6"/>
      <c r="L2" s="19" t="s">
        <v>40</v>
      </c>
      <c r="M2" s="3"/>
      <c r="N2" s="3"/>
    </row>
    <row r="3" spans="1:15">
      <c r="A3" s="28"/>
      <c r="B3" s="26"/>
      <c r="C3" s="28"/>
      <c r="D3" s="35"/>
      <c r="E3" s="35"/>
      <c r="F3" s="35"/>
      <c r="G3" s="57"/>
      <c r="H3" s="21">
        <f t="shared" ref="H3:H25" ca="1" si="0">$F$19+$G$19*J3</f>
        <v>36663.128687580938</v>
      </c>
      <c r="I3" s="63">
        <v>1</v>
      </c>
      <c r="J3" s="18">
        <v>1.7000000000000001E-2</v>
      </c>
      <c r="K3" s="27">
        <f ca="1">H3*$E$9/12+$B$21*IF($B$10&lt;=7000,Parametros!$J$1,Parametros!$R$1)+SIMULADOR!$E$17*IF($B$10&lt;=7000,VLOOKUP($B$12,Parametros!$E$1:$F$11,2,1),VLOOKUP($B$12,Parametros!$T$1:$U$11,2,1))+IF($B$10&gt;4000,Parametros!$J$2,0)</f>
        <v>198.44725296127652</v>
      </c>
      <c r="L3" s="19" t="s">
        <v>39</v>
      </c>
      <c r="M3" s="3"/>
      <c r="N3" s="3"/>
    </row>
    <row r="4" spans="1:15" ht="15" customHeight="1">
      <c r="A4" s="28"/>
      <c r="B4" s="26">
        <f ca="1">($B$10*0.3-$B$21*IF(AND(B10&lt;=7000,B18="NÃO"),Parametros!$J$1,Parametros!$R$1)-IF(OR($B$10&gt;4000,B18="SIM"),Parametros!$J$2,0))/((1/$E$10)+(E8/12)+IF(AND(B10&lt;=7000,B18="NÃO"),VLOOKUP($B$12,Parametros!$E$1:$F$11,2,1),VLOOKUP($B$12,Parametros!$T$1:$U$11,2,1)))</f>
        <v>102394.93670886075</v>
      </c>
      <c r="C4" s="28"/>
      <c r="D4" s="66" t="s">
        <v>61</v>
      </c>
      <c r="E4" s="66"/>
      <c r="F4" s="67" t="str">
        <f>IF(MOD(YEAR(B11),3)=0,"2 S",IF(MOD(YEAR(B11),3)=1,"OBC","MAP"))</f>
        <v>OBC</v>
      </c>
      <c r="G4" s="57"/>
      <c r="H4" s="21">
        <f t="shared" ca="1" si="0"/>
        <v>38164.101265312638</v>
      </c>
      <c r="I4" s="63">
        <v>2</v>
      </c>
      <c r="J4" s="18">
        <v>3.3000000000000002E-2</v>
      </c>
      <c r="K4" s="27">
        <f ca="1">H4*$E$9/12+$B$21*IF($B$10&lt;=7000,Parametros!$J$1,Parametros!$R$1)+SIMULADOR!$E$17*IF($B$10&lt;=7000,VLOOKUP($B$12,Parametros!$E$1:$F$11,2,1),VLOOKUP($B$12,Parametros!$T$1:$U$11,2,1))+IF($B$10&gt;4000,Parametros!$J$2,0)</f>
        <v>205.32671060921348</v>
      </c>
      <c r="L4" s="16"/>
      <c r="M4" s="3"/>
      <c r="N4" s="3"/>
    </row>
    <row r="5" spans="1:15" ht="21" customHeight="1">
      <c r="A5" s="28"/>
      <c r="B5" s="40"/>
      <c r="C5" s="28"/>
      <c r="D5" s="66"/>
      <c r="E5" s="66"/>
      <c r="F5" s="67"/>
      <c r="G5" s="57"/>
      <c r="H5" s="21">
        <f t="shared" ca="1" si="0"/>
        <v>40509.370918018416</v>
      </c>
      <c r="I5" s="63">
        <v>3</v>
      </c>
      <c r="J5" s="18">
        <v>5.8000000000000003E-2</v>
      </c>
      <c r="K5" s="27">
        <f ca="1">H5*$E$9/12+$B$21*IF($B$10&lt;=7000,Parametros!$J$1,Parametros!$R$1)+SIMULADOR!$E$17*IF($B$10&lt;=7000,VLOOKUP($B$12,Parametros!$E$1:$F$11,2,1),VLOOKUP($B$12,Parametros!$T$1:$U$11,2,1))+IF($B$10&gt;4000,Parametros!$J$2,0)</f>
        <v>216.07586318411495</v>
      </c>
      <c r="L5" s="16"/>
    </row>
    <row r="6" spans="1:15" ht="24.75" customHeight="1">
      <c r="B6" s="40"/>
      <c r="D6" s="62" t="s">
        <v>56</v>
      </c>
      <c r="E6" s="64" t="str">
        <f>IF(F4="OBC","pre-analise@obcnegocios.com.br","analise@2sni.com.br")</f>
        <v>pre-analise@obcnegocios.com.br</v>
      </c>
      <c r="F6" s="64"/>
      <c r="G6" s="57"/>
      <c r="H6" s="21">
        <f t="shared" ca="1" si="0"/>
        <v>43323.694501265345</v>
      </c>
      <c r="I6" s="63">
        <v>4</v>
      </c>
      <c r="J6" s="18">
        <v>8.7999999999999995E-2</v>
      </c>
      <c r="K6" s="27">
        <f ca="1">H6*$E$9/12+$B$21*IF($B$10&lt;=7000,Parametros!$J$1,Parametros!$R$1)+SIMULADOR!$E$17*IF($B$10&lt;=7000,VLOOKUP($B$12,Parametros!$E$1:$F$11,2,1),VLOOKUP($B$12,Parametros!$T$1:$U$11,2,1))+IF($B$10&gt;4000,Parametros!$J$2,0)</f>
        <v>228.97484627399672</v>
      </c>
      <c r="L6" s="48"/>
    </row>
    <row r="7" spans="1:15" ht="26.25" customHeight="1">
      <c r="A7" s="39" t="s">
        <v>66</v>
      </c>
      <c r="B7" s="40"/>
      <c r="D7" s="62" t="s">
        <v>57</v>
      </c>
      <c r="E7" s="64" t="s">
        <v>58</v>
      </c>
      <c r="F7" s="64"/>
      <c r="G7" s="57"/>
      <c r="H7" s="21">
        <f t="shared" ca="1" si="0"/>
        <v>46607.07201505344</v>
      </c>
      <c r="I7" s="63">
        <v>5</v>
      </c>
      <c r="J7" s="18">
        <v>0.123</v>
      </c>
      <c r="K7" s="27">
        <f ca="1">H7*$E$9/12+$B$21*IF($B$10&lt;=7000,Parametros!$J$1,Parametros!$R$1)+SIMULADOR!$E$17*IF($B$10&lt;=7000,VLOOKUP($B$12,Parametros!$E$1:$F$11,2,1),VLOOKUP($B$12,Parametros!$T$1:$U$11,2,1))+IF($B$10&gt;4000,Parametros!$J$2,0)</f>
        <v>244.02365987885881</v>
      </c>
      <c r="L7" s="23"/>
    </row>
    <row r="8" spans="1:15">
      <c r="D8" s="40" t="s">
        <v>63</v>
      </c>
      <c r="E8" s="40">
        <f>IF(AND(B10&lt;=2600,B18="NÃO"),0.055,IF(AND(B10&lt;=3000,B18="NÃO"),0.06,IF(AND(B10&lt;=4000,B18="NÃO"),0.07,IF(AND(B10&lt;=7000,B18="NÃO"),0.0816,0.097978))))-IF(AND(B10&lt;=7000,B18="NÃO"),IF($B$15="sim",0.005,0),0)</f>
        <v>5.5E-2</v>
      </c>
      <c r="G8" s="28"/>
      <c r="H8" s="21">
        <f t="shared" ca="1" si="0"/>
        <v>50359.503459382686</v>
      </c>
      <c r="I8" s="63">
        <v>6</v>
      </c>
      <c r="J8" s="18">
        <v>0.16300000000000001</v>
      </c>
      <c r="K8" s="27">
        <f ca="1">H8*$E$9/12+$B$21*IF($B$10&lt;=7000,Parametros!$J$1,Parametros!$R$1)+SIMULADOR!$E$17*IF($B$10&lt;=7000,VLOOKUP($B$12,Parametros!$E$1:$F$11,2,1),VLOOKUP($B$12,Parametros!$T$1:$U$11,2,1))+IF($B$10&gt;4000,Parametros!$J$2,0)</f>
        <v>261.22230399870125</v>
      </c>
      <c r="L8" s="49">
        <f ca="1">AVERAGE(K3:K8)</f>
        <v>225.6784394843603</v>
      </c>
      <c r="M8" s="14"/>
    </row>
    <row r="9" spans="1:15">
      <c r="A9" s="6" t="s">
        <v>13</v>
      </c>
      <c r="B9" s="51" t="s">
        <v>42</v>
      </c>
      <c r="D9" s="6" t="s">
        <v>30</v>
      </c>
      <c r="E9" s="8">
        <f>IF(AND(B10&lt;=2600,B18="NÃO"),0.055,IF(AND(B10&lt;=3000,B18="NÃO"),0.06,IF(AND(B10&lt;=4000,B18="NÃO"),0.07,IF(AND(B10&lt;=7000,B18="NÃO"),0.0816,0.079536))))-IF(AND(B10&lt;=7000,B18="NÃO"),IF($B$15="sim",0.005,0),0)</f>
        <v>5.5E-2</v>
      </c>
      <c r="F9" s="17" t="str">
        <f>IF(E9&gt;0.084,"SBPE","MCMV")</f>
        <v>MCMV</v>
      </c>
      <c r="G9" s="28"/>
      <c r="H9" s="21">
        <f t="shared" ca="1" si="0"/>
        <v>54580.988834253083</v>
      </c>
      <c r="I9" s="63">
        <v>7</v>
      </c>
      <c r="J9" s="18">
        <v>0.20799999999999999</v>
      </c>
      <c r="K9" s="27">
        <f ca="1">H9*$E$9/12+$B$21*IF($B$10&lt;=7000,Parametros!$J$1,Parametros!$R$1)+SIMULADOR!$E$17*IF($B$10&lt;=7000,VLOOKUP($B$12,Parametros!$E$1:$F$11,2,1),VLOOKUP($B$12,Parametros!$T$1:$U$11,2,1))+IF($B$10&gt;4000,Parametros!$J$2,0)</f>
        <v>280.5707786335239</v>
      </c>
      <c r="L9" s="12"/>
      <c r="M9" s="14"/>
    </row>
    <row r="10" spans="1:15">
      <c r="A10" s="6" t="s">
        <v>15</v>
      </c>
      <c r="B10" s="52">
        <v>2605</v>
      </c>
      <c r="D10" s="6" t="s">
        <v>34</v>
      </c>
      <c r="E10" s="10">
        <f ca="1">IF((79-B12)*12&gt;=360,360,(79-B12)*12)</f>
        <v>360</v>
      </c>
      <c r="F10" s="17" t="s">
        <v>29</v>
      </c>
      <c r="G10" s="58"/>
      <c r="H10" s="21">
        <f t="shared" ca="1" si="0"/>
        <v>59271.528139664646</v>
      </c>
      <c r="I10" s="63">
        <v>8</v>
      </c>
      <c r="J10" s="18">
        <v>0.25800000000000001</v>
      </c>
      <c r="K10" s="27">
        <f ca="1">H10*$E$9/12+$B$21*IF($B$10&lt;=7000,Parametros!$J$1,Parametros!$R$1)+SIMULADOR!$E$17*IF($B$10&lt;=7000,VLOOKUP($B$12,Parametros!$E$1:$F$11,2,1),VLOOKUP($B$12,Parametros!$T$1:$U$11,2,1))+IF($B$10&gt;4000,Parametros!$J$2,0)</f>
        <v>302.06908378332685</v>
      </c>
      <c r="L10" s="12"/>
      <c r="M10" s="36"/>
      <c r="N10" s="12"/>
      <c r="O10" s="44"/>
    </row>
    <row r="11" spans="1:15">
      <c r="A11" s="6" t="s">
        <v>14</v>
      </c>
      <c r="B11" s="53">
        <v>33998</v>
      </c>
      <c r="D11" s="6" t="s">
        <v>23</v>
      </c>
      <c r="E11" s="7">
        <f ca="1">IF(IF(B2&gt;((MIN($B$20,$B$21)*IF(OR(B10&gt;7000,B18="sim"),0.5,0.8))),(MIN($B$20,$B$21))*IF(OR(B10&gt;7000,B18="sim"),0.5,0.8),B2)+$E$13&gt;MIN($B$20,$B$21),MIN($B$20,$B$21)-$E$13,IF(B2&gt;(MIN($B$20,$B$21)*IF(OR(B10&gt;7000,B18="sim"),0.5,0.8)),(MIN($B$20,$B$21)*IF(OR(B10&gt;7000,B18="sim"),0.8,0.8)),B2))*0.975</f>
        <v>128879.13143197216</v>
      </c>
      <c r="F11" s="7">
        <f ca="1">(PMT($E$9/12,$E$10,$E$11))*-1+$B$21*IF($B$10&lt;=7000,Parametros!$J$1,Parametros!$R$1)+$E$11*IF($B$10&lt;=7000,VLOOKUP($B$12,Parametros!$E$1:$F$11,2,1),VLOOKUP($B$12,Parametros!$T$1:$U$11,2,1))+IF($B$10&gt;4000,Parametros!$J$2,0)</f>
        <v>762.16944644548323</v>
      </c>
      <c r="G11" s="58"/>
      <c r="H11" s="21">
        <f t="shared" ca="1" si="0"/>
        <v>60397.257572963412</v>
      </c>
      <c r="I11" s="63">
        <v>9</v>
      </c>
      <c r="J11" s="18">
        <v>0.27</v>
      </c>
      <c r="K11" s="27">
        <f ca="1">H11*$E$9/12+$B$21*IF($B$10&lt;=7000,Parametros!$J$1,Parametros!$R$1)+SIMULADOR!$E$17*IF($B$10&lt;=7000,VLOOKUP($B$12,Parametros!$E$1:$F$11,2,1),VLOOKUP($B$12,Parametros!$T$1:$U$11,2,1))+IF($B$10&gt;4000,Parametros!$J$2,0)</f>
        <v>307.22867701927953</v>
      </c>
      <c r="L11" s="12"/>
      <c r="M11" s="36"/>
      <c r="N11" s="12"/>
      <c r="O11" s="44"/>
    </row>
    <row r="12" spans="1:15">
      <c r="A12" s="6" t="s">
        <v>33</v>
      </c>
      <c r="B12" s="9">
        <f ca="1">ROUND((TODAY()-B11)/365,0)+3</f>
        <v>30</v>
      </c>
      <c r="D12" s="6" t="s">
        <v>22</v>
      </c>
      <c r="E12" s="7">
        <f ca="1">IF(IF(B4&gt;(MIN($B$20,$B$21)*0.8),(MIN($B$20,$B$21))*0.8,B4)+$E$13&gt;MIN($B$20,$B$21),MIN($B$20,$B$21)-$E$13,IF(B4&gt;(MIN($B$20,$B$21)*0.8),(MIN($B$20,$B$21)*0.8),B4))*0.975</f>
        <v>99835.063291139231</v>
      </c>
      <c r="F12" s="7">
        <f ca="1">E12/E10+E12*E9/12+$B$21*IF($B$10&lt;=7000,Parametros!$J$1,Parametros!$R$1)+SIMULADOR!E12*IF($B$10&lt;=7000,VLOOKUP($B$12,Parametros!$E$1:$F$11,2,1),VLOOKUP($B$12,Parametros!$T$1:$U$11,2,1))+IF($B$10&gt;4000,Parametros!$J$2,0)</f>
        <v>762.40049999999985</v>
      </c>
      <c r="G12" s="58"/>
      <c r="H12" s="21">
        <f t="shared" ca="1" si="0"/>
        <v>65087.796878374975</v>
      </c>
      <c r="I12" s="63">
        <v>10</v>
      </c>
      <c r="J12" s="18">
        <v>0.32</v>
      </c>
      <c r="K12" s="27">
        <f ca="1">H12*$E$9/12+$B$21*IF($B$10&lt;=7000,Parametros!$J$1,Parametros!$R$1)+SIMULADOR!$E$17*IF($B$10&lt;=7000,VLOOKUP($B$12,Parametros!$E$1:$F$11,2,1),VLOOKUP($B$12,Parametros!$T$1:$U$11,2,1))+IF($B$10&gt;4000,Parametros!$J$2,0)</f>
        <v>328.72698216908253</v>
      </c>
      <c r="L12" s="12"/>
      <c r="M12" s="36"/>
      <c r="N12" s="43" t="s">
        <v>41</v>
      </c>
      <c r="O12" s="44"/>
    </row>
    <row r="13" spans="1:15">
      <c r="A13" s="6" t="s">
        <v>16</v>
      </c>
      <c r="B13" s="54">
        <v>2</v>
      </c>
      <c r="D13" s="6" t="s">
        <v>21</v>
      </c>
      <c r="E13" s="7">
        <f>ROUNDDOWN(IF(B18="sim",0,IF(B10&lt;=$A$24,$B$24*IF(OR($B$14="sim",B13&gt;=2),1,0.5),IF(AND($B$10&gt;=$A$27,$B$10&lt;=$A$28),$B$27,IF(B10&gt;=$A$28,0,0.0121413386957771*((B10-1800)^2)+-35.8169491525424*(B10-1800)+29000))*IF(OR($B$14="sim",B13&gt;=2),1,0.5))),0)</f>
        <v>8035</v>
      </c>
      <c r="F13" s="38"/>
      <c r="G13" s="28"/>
      <c r="H13" s="21">
        <f t="shared" ca="1" si="0"/>
        <v>67902.120461621904</v>
      </c>
      <c r="I13" s="63">
        <v>11</v>
      </c>
      <c r="J13" s="18">
        <v>0.35</v>
      </c>
      <c r="K13" s="27">
        <f ca="1">H13*$E$9/12+$B$21*IF($B$10&lt;=7000,Parametros!$J$1,Parametros!$R$1)+SIMULADOR!$E$17*IF($B$10&lt;=7000,VLOOKUP($B$12,Parametros!$E$1:$F$11,2,1),VLOOKUP($B$12,Parametros!$T$1:$U$11,2,1))+IF($B$10&gt;4000,Parametros!$J$2,0)</f>
        <v>341.6259652589643</v>
      </c>
      <c r="L13" s="23">
        <f ca="1">AVERAGE(K9:K13)</f>
        <v>312.04429737283539</v>
      </c>
      <c r="M13" s="36"/>
      <c r="N13" s="43" t="s">
        <v>0</v>
      </c>
      <c r="O13" s="44"/>
    </row>
    <row r="14" spans="1:15">
      <c r="A14" s="6" t="s">
        <v>17</v>
      </c>
      <c r="B14" s="55" t="s">
        <v>4</v>
      </c>
      <c r="G14" s="28"/>
      <c r="H14" s="21">
        <f t="shared" ca="1" si="0"/>
        <v>65087.796878374975</v>
      </c>
      <c r="I14" s="63">
        <v>12</v>
      </c>
      <c r="J14" s="18">
        <v>0.32</v>
      </c>
      <c r="K14" s="27">
        <f ca="1">H14*$E$9/12+$B$21*IF($B$10&lt;=7000,Parametros!$J$1,Parametros!$R$1)+SIMULADOR!$E$17*IF($B$10&lt;=7000,VLOOKUP($B$12,Parametros!$E$1:$F$11,2,1),VLOOKUP($B$12,Parametros!$T$1:$U$11,2,1))+IF($B$10&gt;4000,Parametros!$J$2,0)</f>
        <v>328.72698216908253</v>
      </c>
      <c r="L14" s="48"/>
      <c r="M14" s="36"/>
      <c r="N14" s="43">
        <f ca="1">IF(F15=N12,E11,IF(F15=N13,E12))</f>
        <v>128879.13143197216</v>
      </c>
      <c r="O14" s="44"/>
    </row>
    <row r="15" spans="1:15">
      <c r="A15" s="6" t="s">
        <v>18</v>
      </c>
      <c r="B15" s="55" t="s">
        <v>2</v>
      </c>
      <c r="E15" s="7" t="s">
        <v>64</v>
      </c>
      <c r="F15" s="54" t="s">
        <v>41</v>
      </c>
      <c r="G15" s="28"/>
      <c r="H15" s="21">
        <f t="shared" ca="1" si="0"/>
        <v>72592.659767033474</v>
      </c>
      <c r="I15" s="63">
        <v>13</v>
      </c>
      <c r="J15" s="18">
        <v>0.4</v>
      </c>
      <c r="K15" s="27">
        <f ca="1">H15*$E$9/12+$B$21*IF($B$10&lt;=7000,Parametros!$J$1,Parametros!$R$1)+SIMULADOR!$E$17*IF($B$10&lt;=7000,VLOOKUP($B$12,Parametros!$E$1:$F$11,2,1),VLOOKUP($B$12,Parametros!$T$1:$U$11,2,1))+IF($B$10&gt;4000,Parametros!$J$2,0)</f>
        <v>363.1242704087673</v>
      </c>
      <c r="L15" s="48"/>
      <c r="M15" s="12"/>
      <c r="N15" s="43">
        <f ca="1">IF(F15=N12,F11,IF(F15=N13,F12))</f>
        <v>762.16944644548323</v>
      </c>
      <c r="O15" s="44"/>
    </row>
    <row r="16" spans="1:15">
      <c r="A16" s="6" t="s">
        <v>19</v>
      </c>
      <c r="B16" s="52">
        <v>4500</v>
      </c>
      <c r="D16" s="6" t="s">
        <v>25</v>
      </c>
      <c r="E16" s="7">
        <f>B20</f>
        <v>240000</v>
      </c>
      <c r="F16" s="20"/>
      <c r="G16" s="28"/>
      <c r="H16" s="21">
        <f t="shared" ca="1" si="0"/>
        <v>80754.198158449581</v>
      </c>
      <c r="I16" s="63">
        <v>14</v>
      </c>
      <c r="J16" s="18">
        <v>0.48700000000000004</v>
      </c>
      <c r="K16" s="27">
        <f ca="1">H16*$E$9/12+$B$21*IF($B$10&lt;=7000,Parametros!$J$1,Parametros!$R$1)+SIMULADOR!$E$17*IF($B$10&lt;=7000,VLOOKUP($B$12,Parametros!$E$1:$F$11,2,1),VLOOKUP($B$12,Parametros!$T$1:$U$11,2,1))+IF($B$10&gt;4000,Parametros!$J$2,0)</f>
        <v>400.53132136942446</v>
      </c>
      <c r="L16" s="48"/>
      <c r="M16" s="12"/>
      <c r="N16" s="12"/>
      <c r="O16" s="44"/>
    </row>
    <row r="17" spans="1:16">
      <c r="A17" s="6" t="s">
        <v>20</v>
      </c>
      <c r="B17" s="50">
        <v>4.4999999999999998E-2</v>
      </c>
      <c r="D17" s="6" t="s">
        <v>65</v>
      </c>
      <c r="E17" s="7">
        <f ca="1">IF(E16-E19-E18-N14-E24&lt;0,E16-E24-E19-E18,N14)</f>
        <v>128879.13143197216</v>
      </c>
      <c r="F17" s="7">
        <f ca="1">N15</f>
        <v>762.16944644548323</v>
      </c>
      <c r="G17" s="58"/>
      <c r="H17" s="21">
        <f t="shared" ca="1" si="0"/>
        <v>89103.358122082151</v>
      </c>
      <c r="I17" s="63">
        <v>15</v>
      </c>
      <c r="J17" s="18">
        <v>0.57600000000000007</v>
      </c>
      <c r="K17" s="27">
        <f ca="1">H17*$E$9/12+$B$21*IF($B$10&lt;=7000,Parametros!$J$1,Parametros!$R$1)+SIMULADOR!$E$17*IF($B$10&lt;=7000,VLOOKUP($B$12,Parametros!$E$1:$F$11,2,1),VLOOKUP($B$12,Parametros!$T$1:$U$11,2,1))+IF($B$10&gt;4000,Parametros!$J$2,0)</f>
        <v>438.79830453607377</v>
      </c>
      <c r="L17" s="48"/>
      <c r="M17" s="12"/>
      <c r="N17" s="12"/>
      <c r="O17" s="44"/>
    </row>
    <row r="18" spans="1:16">
      <c r="A18" s="6" t="s">
        <v>62</v>
      </c>
      <c r="B18" s="55" t="s">
        <v>4</v>
      </c>
      <c r="D18" s="6" t="s">
        <v>26</v>
      </c>
      <c r="E18" s="7">
        <f>E13</f>
        <v>8035</v>
      </c>
      <c r="F18" s="41"/>
      <c r="G18" s="59"/>
      <c r="H18" s="21">
        <f t="shared" ca="1" si="0"/>
        <v>97171.085727390018</v>
      </c>
      <c r="I18" s="63">
        <v>16</v>
      </c>
      <c r="J18" s="18">
        <v>0.66200000000000003</v>
      </c>
      <c r="K18" s="27">
        <f ca="1">H18*$E$9/12+$B$21*IF($B$10&lt;=7000,Parametros!$J$1,Parametros!$R$1)+SIMULADOR!$E$17*IF($B$10&lt;=7000,VLOOKUP($B$12,Parametros!$E$1:$F$11,2,1),VLOOKUP($B$12,Parametros!$T$1:$U$11,2,1))+IF($B$10&gt;4000,Parametros!$J$2,0)</f>
        <v>475.77538939373477</v>
      </c>
      <c r="L18" s="48"/>
      <c r="M18" s="12"/>
      <c r="N18" s="12"/>
      <c r="O18" s="44"/>
    </row>
    <row r="19" spans="1:16" ht="13.5" customHeight="1">
      <c r="A19" s="6" t="s">
        <v>55</v>
      </c>
      <c r="B19" s="56" t="s">
        <v>67</v>
      </c>
      <c r="D19" s="6" t="s">
        <v>27</v>
      </c>
      <c r="E19" s="7">
        <f>B16</f>
        <v>4500</v>
      </c>
      <c r="F19" s="41">
        <f>IF(E19&gt;B22,0,B22-E19)</f>
        <v>35068.345323741007</v>
      </c>
      <c r="G19" s="41">
        <f ca="1">E17-F19</f>
        <v>93810.786108231143</v>
      </c>
      <c r="H19" s="21">
        <f t="shared" ca="1" si="0"/>
        <v>103737.84075496619</v>
      </c>
      <c r="I19" s="63">
        <v>17</v>
      </c>
      <c r="J19" s="18">
        <v>0.73199999999999998</v>
      </c>
      <c r="K19" s="27">
        <f ca="1">H19*$E$9/12+$B$21*IF($B$10&lt;=7000,Parametros!$J$1,Parametros!$R$1)+SIMULADOR!$E$17*IF($B$10&lt;=7000,VLOOKUP($B$12,Parametros!$E$1:$F$11,2,1),VLOOKUP($B$12,Parametros!$T$1:$U$11,2,1))+IF($B$10&gt;4000,Parametros!$J$2,0)</f>
        <v>505.87301660345889</v>
      </c>
      <c r="L19" s="48"/>
      <c r="M19" s="44"/>
      <c r="N19" s="44"/>
      <c r="O19" s="44"/>
    </row>
    <row r="20" spans="1:16" ht="13.5" customHeight="1">
      <c r="A20" s="6" t="s">
        <v>24</v>
      </c>
      <c r="B20" s="52">
        <v>240000</v>
      </c>
      <c r="F20" s="40"/>
      <c r="G20" s="28"/>
      <c r="H20" s="21">
        <f t="shared" ca="1" si="0"/>
        <v>109366.48792146007</v>
      </c>
      <c r="I20" s="63">
        <v>18</v>
      </c>
      <c r="J20" s="18">
        <v>0.79200000000000004</v>
      </c>
      <c r="K20" s="27">
        <f ca="1">H20*$E$9/12+$B$21*IF($B$10&lt;=7000,Parametros!$J$1,Parametros!$R$1)+SIMULADOR!$E$17*IF($B$10&lt;=7000,VLOOKUP($B$12,Parametros!$E$1:$F$11,2,1),VLOOKUP($B$12,Parametros!$T$1:$U$11,2,1))+IF($B$10&gt;4000,Parametros!$J$2,0)</f>
        <v>531.6709827832226</v>
      </c>
      <c r="L20" s="48"/>
      <c r="M20" s="44"/>
      <c r="N20" s="44"/>
      <c r="O20" s="44"/>
    </row>
    <row r="21" spans="1:16" ht="13.5" customHeight="1">
      <c r="A21" s="12" t="s">
        <v>28</v>
      </c>
      <c r="B21" s="37">
        <f>VLOOKUP(SIMULADOR!B19,Planilha1!C4:F9,4,0)</f>
        <v>240000</v>
      </c>
      <c r="D21" s="6" t="s">
        <v>32</v>
      </c>
      <c r="E21" s="7">
        <f ca="1">E16-E17-E18-E19</f>
        <v>98585.868568027843</v>
      </c>
      <c r="F21" s="40"/>
      <c r="G21" s="60"/>
      <c r="H21" s="21">
        <f t="shared" ca="1" si="0"/>
        <v>114526.08115741279</v>
      </c>
      <c r="I21" s="63">
        <v>19</v>
      </c>
      <c r="J21" s="18">
        <v>0.84699999999999998</v>
      </c>
      <c r="K21" s="27">
        <f ca="1">H21*$E$9/12+$B$21*IF($B$10&lt;=7000,Parametros!$J$1,Parametros!$R$1)+SIMULADOR!$E$17*IF($B$10&lt;=7000,VLOOKUP($B$12,Parametros!$E$1:$F$11,2,1),VLOOKUP($B$12,Parametros!$T$1:$U$11,2,1))+IF($B$10&gt;4000,Parametros!$J$2,0)</f>
        <v>555.31911844800584</v>
      </c>
      <c r="L21" s="48"/>
    </row>
    <row r="22" spans="1:16" ht="13.5" customHeight="1">
      <c r="A22" s="12" t="s">
        <v>37</v>
      </c>
      <c r="B22" s="37">
        <f>11000000/278</f>
        <v>39568.345323741007</v>
      </c>
      <c r="D22" s="46"/>
      <c r="E22" s="46"/>
      <c r="F22" s="46"/>
      <c r="G22" s="61"/>
      <c r="H22" s="21">
        <f t="shared" ca="1" si="0"/>
        <v>119498.05282114903</v>
      </c>
      <c r="I22" s="63">
        <v>20</v>
      </c>
      <c r="J22" s="18">
        <v>0.9</v>
      </c>
      <c r="K22" s="27">
        <f ca="1">H22*$E$9/12+$B$21*IF($B$10&lt;=7000,Parametros!$J$1,Parametros!$R$1)+SIMULADOR!$E$17*IF($B$10&lt;=7000,VLOOKUP($B$12,Parametros!$E$1:$F$11,2,1),VLOOKUP($B$12,Parametros!$T$1:$U$11,2,1))+IF($B$10&gt;4000,Parametros!$J$2,0)</f>
        <v>578.10732190679698</v>
      </c>
      <c r="L22" s="23">
        <f ca="1">AVERAGE(K14:K22)</f>
        <v>464.21407862428521</v>
      </c>
    </row>
    <row r="23" spans="1:16" ht="13.5" customHeight="1">
      <c r="A23" s="15" t="s">
        <v>35</v>
      </c>
      <c r="B23" s="11"/>
      <c r="D23" s="46"/>
      <c r="E23" s="46"/>
      <c r="F23" s="46"/>
      <c r="G23" s="61"/>
      <c r="H23" s="21">
        <f t="shared" ca="1" si="0"/>
        <v>124188.5921265606</v>
      </c>
      <c r="I23" s="63">
        <v>21</v>
      </c>
      <c r="J23" s="18">
        <v>0.95</v>
      </c>
      <c r="K23" s="27">
        <f ca="1">H23*$E$9/12+$B$21*IF($B$10&lt;=7000,Parametros!$J$1,Parametros!$R$1)+SIMULADOR!$E$17*IF($B$10&lt;=7000,VLOOKUP($B$12,Parametros!$E$1:$F$11,2,1),VLOOKUP($B$12,Parametros!$T$1:$U$11,2,1))+IF($B$10&gt;4000,Parametros!$J$2,0)</f>
        <v>599.60562705659993</v>
      </c>
      <c r="L23" s="16"/>
    </row>
    <row r="24" spans="1:16" ht="13.5" customHeight="1">
      <c r="A24" s="12">
        <v>1800</v>
      </c>
      <c r="B24" s="12">
        <v>29000</v>
      </c>
      <c r="D24" s="46"/>
      <c r="E24" s="46"/>
      <c r="F24" s="46"/>
      <c r="G24" s="61"/>
      <c r="H24" s="21">
        <f t="shared" ca="1" si="0"/>
        <v>127002.91570980754</v>
      </c>
      <c r="I24" s="63">
        <v>22</v>
      </c>
      <c r="J24" s="18">
        <v>0.98</v>
      </c>
      <c r="K24" s="27">
        <f ca="1">H24*$E$9/12+$B$21*IF($B$10&lt;=7000,Parametros!$J$1,Parametros!$R$1)+SIMULADOR!$E$17*IF($B$10&lt;=7000,VLOOKUP($B$12,Parametros!$E$1:$F$11,2,1),VLOOKUP($B$12,Parametros!$T$1:$U$11,2,1))+IF($B$10&gt;4000,Parametros!$J$2,0)</f>
        <v>612.5046101464817</v>
      </c>
      <c r="L24" s="16"/>
    </row>
    <row r="25" spans="1:16" ht="13.5" customHeight="1">
      <c r="A25" s="12">
        <v>2350</v>
      </c>
      <c r="B25" s="12">
        <v>14765</v>
      </c>
      <c r="D25" s="46"/>
      <c r="E25" s="46"/>
      <c r="F25" s="46"/>
      <c r="G25" s="61"/>
      <c r="H25" s="21">
        <f t="shared" ca="1" si="0"/>
        <v>128879.13143197214</v>
      </c>
      <c r="I25" s="63">
        <v>23</v>
      </c>
      <c r="J25" s="18">
        <v>1</v>
      </c>
      <c r="K25" s="27">
        <f ca="1">H25*$E$9/12+$B$21*IF($B$10&lt;=7000,Parametros!$J$1,Parametros!$R$1)+SIMULADOR!$E$17*IF($B$10&lt;=7000,VLOOKUP($B$12,Parametros!$E$1:$F$11,2,1),VLOOKUP($B$12,Parametros!$T$1:$U$11,2,1))+IF($B$10&gt;4000,Parametros!$J$2,0)</f>
        <v>621.10393220640287</v>
      </c>
      <c r="L25" s="16"/>
    </row>
    <row r="26" spans="1:16" ht="13.5" customHeight="1">
      <c r="A26" s="12">
        <v>2790</v>
      </c>
      <c r="B26" s="12">
        <v>6115</v>
      </c>
      <c r="D26" s="46"/>
      <c r="E26" s="46"/>
      <c r="F26" s="46"/>
      <c r="G26" s="42"/>
      <c r="L26" s="16"/>
    </row>
    <row r="27" spans="1:16" ht="13.5" customHeight="1">
      <c r="A27" s="12">
        <v>3275</v>
      </c>
      <c r="B27" s="12">
        <v>2585</v>
      </c>
      <c r="D27" s="25"/>
      <c r="E27" s="24"/>
      <c r="F27" s="24"/>
      <c r="G27" s="24"/>
      <c r="L27" s="16"/>
    </row>
    <row r="28" spans="1:16" ht="13.5" customHeight="1">
      <c r="A28" s="12">
        <v>4000</v>
      </c>
      <c r="B28" s="12"/>
      <c r="D28" s="46"/>
      <c r="E28" s="46"/>
      <c r="F28" s="46"/>
      <c r="G28" s="47"/>
      <c r="L28" s="16"/>
    </row>
    <row r="29" spans="1:16">
      <c r="L29" s="5"/>
      <c r="M29" s="5"/>
      <c r="N29" s="5"/>
      <c r="O29" s="5"/>
      <c r="P29" s="5"/>
    </row>
  </sheetData>
  <sheetProtection algorithmName="SHA-512" hashValue="bwMkp3XVIHPteSOJ5cKFArUMqpaMX9Vw/hi5Zk25ONKij/c0oTLzElGn0+yvxQgqvYCK61mXhuxLLLy5VJ5cHg==" saltValue="RnxfpsU5RZpePCv1O3VG7g==" spinCount="100000" sheet="1" objects="1" scenarios="1"/>
  <mergeCells count="5">
    <mergeCell ref="E6:F6"/>
    <mergeCell ref="E7:F7"/>
    <mergeCell ref="D1:F2"/>
    <mergeCell ref="D4:E5"/>
    <mergeCell ref="F4:F5"/>
  </mergeCells>
  <dataValidations count="1">
    <dataValidation type="list" allowBlank="1" showInputMessage="1" showErrorMessage="1" sqref="F15" xr:uid="{6BB08DBF-B381-4776-A81F-45FC56458EAC}">
      <formula1>$N$12:$N$13</formula1>
    </dataValidation>
  </dataValidations>
  <hyperlinks>
    <hyperlink ref="E7" r:id="rId1" xr:uid="{00000000-0004-0000-0000-000000000000}"/>
  </hyperlinks>
  <pageMargins left="0.25" right="0.25" top="0.75" bottom="0.75" header="0.3" footer="0.3"/>
  <pageSetup paperSize="9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Parametros!$A$3:$A$4</xm:f>
          </x14:formula1>
          <xm:sqref>B14:B15 B18</xm:sqref>
        </x14:dataValidation>
        <x14:dataValidation type="list" allowBlank="1" showInputMessage="1" showErrorMessage="1" xr:uid="{00000000-0002-0000-0000-000003000000}">
          <x14:formula1>
            <xm:f>Parametros!$A$7:$A$11</xm:f>
          </x14:formula1>
          <xm:sqref>B13</xm:sqref>
        </x14:dataValidation>
        <x14:dataValidation type="list" allowBlank="1" showInputMessage="1" showErrorMessage="1" xr:uid="{00000000-0002-0000-0000-000004000000}">
          <x14:formula1>
            <xm:f>Planilha1!$C$4:$C$5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U19"/>
  <sheetViews>
    <sheetView workbookViewId="0">
      <selection sqref="A1:XFD1048576"/>
    </sheetView>
  </sheetViews>
  <sheetFormatPr defaultRowHeight="15"/>
  <cols>
    <col min="9" max="9" width="15.46875" customWidth="1"/>
    <col min="10" max="10" width="16.140625" customWidth="1"/>
    <col min="18" max="18" width="13.31640625" bestFit="1" customWidth="1"/>
  </cols>
  <sheetData>
    <row r="1" spans="1:21">
      <c r="A1" t="s">
        <v>3</v>
      </c>
      <c r="E1">
        <v>0</v>
      </c>
      <c r="F1" s="1">
        <v>1E-4</v>
      </c>
      <c r="G1" t="s">
        <v>59</v>
      </c>
      <c r="I1" t="s">
        <v>5</v>
      </c>
      <c r="J1" s="2">
        <v>7.2999999999999999E-5</v>
      </c>
      <c r="Q1" t="s">
        <v>60</v>
      </c>
      <c r="R1" s="2">
        <v>7.7999999999999999E-5</v>
      </c>
      <c r="T1">
        <v>0</v>
      </c>
      <c r="U1" s="1">
        <v>1.15E-4</v>
      </c>
    </row>
    <row r="2" spans="1:21">
      <c r="E2">
        <v>31</v>
      </c>
      <c r="F2" s="1">
        <v>1.15E-4</v>
      </c>
      <c r="I2" t="s">
        <v>31</v>
      </c>
      <c r="J2">
        <v>25</v>
      </c>
      <c r="T2">
        <v>26</v>
      </c>
      <c r="U2" s="1">
        <v>1.21E-4</v>
      </c>
    </row>
    <row r="3" spans="1:21">
      <c r="A3" t="s">
        <v>2</v>
      </c>
      <c r="E3">
        <v>36</v>
      </c>
      <c r="F3" s="1">
        <v>1.06E-4</v>
      </c>
      <c r="T3">
        <v>31</v>
      </c>
      <c r="U3" s="1">
        <v>1.7799999999999999E-4</v>
      </c>
    </row>
    <row r="4" spans="1:21">
      <c r="A4" t="s">
        <v>4</v>
      </c>
      <c r="E4">
        <v>41</v>
      </c>
      <c r="F4" s="1">
        <v>2.5000000000000001E-4</v>
      </c>
      <c r="T4">
        <v>36</v>
      </c>
      <c r="U4" s="1">
        <v>2.34E-4</v>
      </c>
    </row>
    <row r="5" spans="1:21">
      <c r="E5">
        <v>46</v>
      </c>
      <c r="F5" s="1">
        <v>3.6999999999999999E-4</v>
      </c>
      <c r="T5">
        <v>41</v>
      </c>
      <c r="U5" s="1">
        <v>3.1799999999999998E-4</v>
      </c>
    </row>
    <row r="6" spans="1:21">
      <c r="E6">
        <v>51</v>
      </c>
      <c r="F6" s="1">
        <v>6.8000000000000005E-4</v>
      </c>
      <c r="T6">
        <v>46</v>
      </c>
      <c r="U6" s="1">
        <v>4.4799999999999999E-4</v>
      </c>
    </row>
    <row r="7" spans="1:21">
      <c r="A7">
        <v>1</v>
      </c>
      <c r="E7">
        <v>56</v>
      </c>
      <c r="F7" s="1">
        <v>6.9800000000000005E-4</v>
      </c>
      <c r="T7">
        <v>51</v>
      </c>
      <c r="U7" s="1">
        <v>7.5100000000000004E-4</v>
      </c>
    </row>
    <row r="8" spans="1:21">
      <c r="A8">
        <v>2</v>
      </c>
      <c r="E8">
        <v>61</v>
      </c>
      <c r="F8" s="1">
        <v>1.3649999999999999E-3</v>
      </c>
      <c r="I8" t="s">
        <v>0</v>
      </c>
      <c r="J8" t="s">
        <v>6</v>
      </c>
      <c r="T8">
        <v>56</v>
      </c>
      <c r="U8" s="1">
        <v>1.5610000000000001E-3</v>
      </c>
    </row>
    <row r="9" spans="1:21">
      <c r="A9">
        <v>3</v>
      </c>
      <c r="E9">
        <v>66</v>
      </c>
      <c r="F9" s="1">
        <v>2.1289999999999998E-3</v>
      </c>
      <c r="I9" t="s">
        <v>1</v>
      </c>
      <c r="J9" t="s">
        <v>7</v>
      </c>
      <c r="T9">
        <v>61</v>
      </c>
      <c r="U9" s="1">
        <v>2.7810000000000001E-3</v>
      </c>
    </row>
    <row r="10" spans="1:21">
      <c r="A10">
        <v>4</v>
      </c>
      <c r="E10">
        <v>71</v>
      </c>
      <c r="F10" s="1">
        <v>3.7650000000000001E-3</v>
      </c>
      <c r="T10">
        <v>66</v>
      </c>
      <c r="U10" s="1">
        <v>3.5490000000000001E-3</v>
      </c>
    </row>
    <row r="11" spans="1:21">
      <c r="A11">
        <v>5</v>
      </c>
      <c r="E11">
        <v>76</v>
      </c>
      <c r="F11" s="1">
        <v>4.7070000000000002E-3</v>
      </c>
      <c r="J11" t="s">
        <v>8</v>
      </c>
      <c r="T11">
        <v>71</v>
      </c>
      <c r="U11" s="1">
        <v>4.7070000000000002E-3</v>
      </c>
    </row>
    <row r="12" spans="1:21">
      <c r="T12">
        <v>76</v>
      </c>
      <c r="U12" s="1">
        <v>4.7070000000000002E-3</v>
      </c>
    </row>
    <row r="13" spans="1:21">
      <c r="J13" t="s">
        <v>9</v>
      </c>
    </row>
    <row r="16" spans="1:21">
      <c r="E16">
        <v>41</v>
      </c>
      <c r="F16">
        <f>VLOOKUP(E16,$E$1:$F$11,2,1)</f>
        <v>2.5000000000000001E-4</v>
      </c>
    </row>
    <row r="18" spans="9:10">
      <c r="I18" t="s">
        <v>10</v>
      </c>
      <c r="J18" t="s">
        <v>11</v>
      </c>
    </row>
    <row r="19" spans="9:10">
      <c r="J19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G9"/>
  <sheetViews>
    <sheetView workbookViewId="0">
      <selection activeCell="C5" sqref="C5"/>
    </sheetView>
  </sheetViews>
  <sheetFormatPr defaultRowHeight="15"/>
  <cols>
    <col min="1" max="2" width="9.28125" bestFit="1" customWidth="1"/>
    <col min="3" max="3" width="29.32421875" bestFit="1" customWidth="1"/>
    <col min="4" max="4" width="24.6171875" bestFit="1" customWidth="1"/>
    <col min="5" max="5" width="13.44921875" bestFit="1" customWidth="1"/>
    <col min="6" max="6" width="12.64453125" bestFit="1" customWidth="1"/>
    <col min="7" max="7" width="15.19921875" bestFit="1" customWidth="1"/>
  </cols>
  <sheetData>
    <row r="1" spans="1:7">
      <c r="A1" t="s">
        <v>43</v>
      </c>
    </row>
    <row r="2" spans="1:7" ht="15.75" thickBot="1"/>
    <row r="3" spans="1:7" ht="15.75" thickBot="1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</row>
    <row r="4" spans="1:7" ht="15.75" thickBot="1">
      <c r="A4" s="31" t="s">
        <v>51</v>
      </c>
      <c r="B4" s="32">
        <v>28</v>
      </c>
      <c r="C4" t="s">
        <v>67</v>
      </c>
      <c r="D4" s="32" t="s">
        <v>52</v>
      </c>
      <c r="E4" s="33">
        <v>190000</v>
      </c>
      <c r="F4" s="34">
        <v>240000</v>
      </c>
      <c r="G4" s="33">
        <v>5320000</v>
      </c>
    </row>
    <row r="5" spans="1:7" ht="15.75" thickBot="1">
      <c r="A5" s="31" t="s">
        <v>53</v>
      </c>
      <c r="B5" s="32">
        <v>122</v>
      </c>
      <c r="C5" t="s">
        <v>68</v>
      </c>
      <c r="D5" s="32" t="s">
        <v>54</v>
      </c>
      <c r="E5" s="33">
        <v>230000</v>
      </c>
      <c r="F5" s="33">
        <v>200000</v>
      </c>
      <c r="G5" s="33">
        <v>25839600</v>
      </c>
    </row>
    <row r="6" spans="1:7" ht="15.75" thickBot="1">
      <c r="A6" s="31"/>
      <c r="B6" s="32"/>
      <c r="D6" s="32"/>
      <c r="E6" s="33"/>
      <c r="F6" s="34"/>
      <c r="G6" s="33"/>
    </row>
    <row r="7" spans="1:7" ht="15.75" thickBot="1">
      <c r="A7" s="31"/>
      <c r="B7" s="32"/>
      <c r="D7" s="32"/>
      <c r="E7" s="33"/>
      <c r="F7" s="33"/>
      <c r="G7" s="33"/>
    </row>
    <row r="8" spans="1:7" ht="15.75" thickBot="1">
      <c r="A8" s="31"/>
      <c r="B8" s="32"/>
      <c r="D8" s="32"/>
      <c r="E8" s="33"/>
      <c r="F8" s="34"/>
      <c r="G8" s="33"/>
    </row>
    <row r="9" spans="1:7" ht="15.75" thickBot="1">
      <c r="A9" s="31"/>
      <c r="B9" s="32"/>
      <c r="D9" s="32"/>
      <c r="E9" s="33"/>
      <c r="F9" s="33"/>
      <c r="G9" s="3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SIMULADOR</vt:lpstr>
      <vt:lpstr>Parametros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Lopes</dc:creator>
  <cp:lastModifiedBy>Andre Boucinha</cp:lastModifiedBy>
  <cp:lastPrinted>2019-10-10T23:37:18Z</cp:lastPrinted>
  <dcterms:created xsi:type="dcterms:W3CDTF">2017-04-02T17:26:11Z</dcterms:created>
  <dcterms:modified xsi:type="dcterms:W3CDTF">2019-10-11T22:30:06Z</dcterms:modified>
</cp:coreProperties>
</file>