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" sheetId="1" r:id="rId4"/>
    <sheet state="hidden" name="Parametros" sheetId="2" r:id="rId5"/>
    <sheet state="hidden" name="Planilha1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8">
      <text>
        <t xml:space="preserve">Caso o cliente possua renda inferior a 7.000, mas já possua imovel ele será enqudrado no SBPE</t>
      </text>
    </comment>
  </commentList>
</comments>
</file>

<file path=xl/sharedStrings.xml><?xml version="1.0" encoding="utf-8"?>
<sst xmlns="http://schemas.openxmlformats.org/spreadsheetml/2006/main" count="85" uniqueCount="78">
  <si>
    <t>Avaliação CEF</t>
  </si>
  <si>
    <t>Parametros</t>
  </si>
  <si>
    <t>Tipologia</t>
  </si>
  <si>
    <t>Quantid.</t>
  </si>
  <si>
    <t>*Os resultados obtidos representam apenas uma simulação e não valem como proposta</t>
  </si>
  <si>
    <t>Área Quadro NBR 12.721 (col 23)</t>
  </si>
  <si>
    <t>Descrição da UH</t>
  </si>
  <si>
    <t>Valor Proposto</t>
  </si>
  <si>
    <t>Valor Avaliado</t>
  </si>
  <si>
    <t>VGV</t>
  </si>
  <si>
    <t>Tipo 1</t>
  </si>
  <si>
    <t>MCMV</t>
  </si>
  <si>
    <t>DIF</t>
  </si>
  <si>
    <t>DFI SBPE</t>
  </si>
  <si>
    <t>TAXA CONTRATO</t>
  </si>
  <si>
    <t>38 M2</t>
  </si>
  <si>
    <t>Torre 1 e 2, 2 dorms, 0 vaga</t>
  </si>
  <si>
    <t>Sim</t>
  </si>
  <si>
    <t>Não</t>
  </si>
  <si>
    <t>Curva teorica de obra (PRICE) sem TR</t>
  </si>
  <si>
    <t>SAC</t>
  </si>
  <si>
    <t>FINANCIAMENTO =  ( PARCELA - UNIDADE *DFI ) / (1/PRAZO + JUROS + MIP)</t>
  </si>
  <si>
    <t>PRICE</t>
  </si>
  <si>
    <t>PARCELA = PGTO(TAXA;PRAZO;VF) + VF*DFI + UNIDADE*MIP</t>
  </si>
  <si>
    <t>PMT = PV * [(1+JUROS)^N * JUROS)] / (1+JUROS)^N -1</t>
  </si>
  <si>
    <t>PV = PMT / [(1+JUROS)^N * JUROS)] / (1+JUROS)^N -1</t>
  </si>
  <si>
    <t>Tipo 2</t>
  </si>
  <si>
    <t>42 M2</t>
  </si>
  <si>
    <t>Torre 1 e 2, 2 dorms, 1 vaga</t>
  </si>
  <si>
    <t>Tipo 3</t>
  </si>
  <si>
    <t>44 M2</t>
  </si>
  <si>
    <t>Pgto Comissão</t>
  </si>
  <si>
    <t>Retira da entrada</t>
  </si>
  <si>
    <t>50% do fluxo</t>
  </si>
  <si>
    <t>Lançamento</t>
  </si>
  <si>
    <t>* Valores sujeitos à alteração</t>
  </si>
  <si>
    <t>conforme mudanças no cronograma</t>
  </si>
  <si>
    <t>CCA A SER EVIADA A PASTA:</t>
  </si>
  <si>
    <t xml:space="preserve">email : </t>
  </si>
  <si>
    <t>Versão 2019 v.003</t>
  </si>
  <si>
    <t>copiando:</t>
  </si>
  <si>
    <t>creditovibra@vibraresidencial.com.br</t>
  </si>
  <si>
    <t>Taxa Juros Cheia</t>
  </si>
  <si>
    <t>Nome Cliente:</t>
  </si>
  <si>
    <t>guilherme Lima</t>
  </si>
  <si>
    <t>Taxa de Juros</t>
  </si>
  <si>
    <t>Renda Familiar:</t>
  </si>
  <si>
    <t>Prazo</t>
  </si>
  <si>
    <t>Prestação</t>
  </si>
  <si>
    <t>Data Nascimento:</t>
  </si>
  <si>
    <t>Valor Máx. PRICE</t>
  </si>
  <si>
    <t>Idade considerada</t>
  </si>
  <si>
    <t>Valor Máx. SAC</t>
  </si>
  <si>
    <t>Prestação Price</t>
  </si>
  <si>
    <t>Quantidade de Proponentes:</t>
  </si>
  <si>
    <t>Valor de subsídio</t>
  </si>
  <si>
    <t>Possui Dependente:</t>
  </si>
  <si>
    <t>Possui 3 anos de FGTS:</t>
  </si>
  <si>
    <t>Opção do cliente:</t>
  </si>
  <si>
    <t>Valor de FGTS:</t>
  </si>
  <si>
    <t>Compra e Venda</t>
  </si>
  <si>
    <t>Comissão:</t>
  </si>
  <si>
    <t>Max. PRICE (-)</t>
  </si>
  <si>
    <t>Cliente possui Imovel</t>
  </si>
  <si>
    <t>Subsídio (-)</t>
  </si>
  <si>
    <t>Tipo da Unidade</t>
  </si>
  <si>
    <t>FGTS (-)</t>
  </si>
  <si>
    <t>Valor Compra Venda</t>
  </si>
  <si>
    <t>Valor Avaliação CEF</t>
  </si>
  <si>
    <t>Diferença $$$</t>
  </si>
  <si>
    <t>Valor Fração Terreno</t>
  </si>
  <si>
    <t>* Somente os campos em branco podem ser editados</t>
  </si>
  <si>
    <t>Total Contrato</t>
  </si>
  <si>
    <t>Fluxo Vibra</t>
  </si>
  <si>
    <t>Fluxo corretagem</t>
  </si>
  <si>
    <t>Entrada</t>
  </si>
  <si>
    <t>Pro-Soluto**</t>
  </si>
  <si>
    <t>% Pro-soluto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</si>
</sst>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000%"/>
    <numFmt numFmtId="165" formatCode="0.000000000%"/>
    <numFmt numFmtId="166" formatCode="_-* #,##0.00_-;\-* #,##0.00_-;_-* &quot;-&quot;??_-;_-@"/>
    <numFmt numFmtId="167" formatCode="&quot;R$&quot;#,##0.00;[Red]\-&quot;R$&quot;#,##0.00"/>
    <numFmt numFmtId="168" formatCode="_-&quot;R$&quot;* #,##0.00_-;\-&quot;R$&quot;* #,##0.00_-;_-&quot;R$&quot;* &quot;-&quot;??_-;_-@"/>
    <numFmt numFmtId="169" formatCode="0.0%"/>
    <numFmt numFmtId="170" formatCode="dd/mm/yyyy"/>
  </numFmts>
  <fonts count="17">
    <font>
      <sz val="11.0"/>
      <color theme="1"/>
      <name val="Arial"/>
    </font>
    <font>
      <color theme="1"/>
      <name val="Calibri"/>
    </font>
    <font>
      <sz val="11.0"/>
      <color rgb="FFFF0000"/>
      <name val="Calibri"/>
    </font>
    <font>
      <sz val="10.0"/>
      <color theme="1"/>
      <name val="Arial"/>
    </font>
    <font>
      <sz val="11.0"/>
      <color theme="1"/>
      <name val="Calibri"/>
    </font>
    <font>
      <sz val="11.0"/>
      <color rgb="FF7F7F7F"/>
      <name val="Calibri"/>
    </font>
    <font>
      <sz val="11.0"/>
      <color theme="0"/>
      <name val="Calibri"/>
    </font>
    <font>
      <sz val="11.0"/>
      <color rgb="FFFEF2CB"/>
      <name val="Calibri"/>
    </font>
    <font>
      <sz val="17.0"/>
      <color theme="0"/>
      <name val="Calibri"/>
    </font>
    <font/>
    <font>
      <sz val="18.0"/>
      <color theme="0"/>
      <name val="Calibri"/>
    </font>
    <font>
      <sz val="14.0"/>
      <color theme="0"/>
      <name val="Calibri"/>
    </font>
    <font>
      <sz val="13.0"/>
      <color theme="0"/>
      <name val="Calibri"/>
    </font>
    <font>
      <b/>
      <sz val="14.0"/>
      <color theme="1"/>
      <name val="Calibri"/>
    </font>
    <font>
      <u/>
      <sz val="13.0"/>
      <color theme="0"/>
    </font>
    <font>
      <b/>
      <sz val="11.0"/>
      <color rgb="FF7F7F7F"/>
      <name val="Calibri"/>
    </font>
    <font>
      <b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33CCFF"/>
        <bgColor rgb="FF33CCFF"/>
      </patternFill>
    </fill>
    <fill>
      <patternFill patternType="solid">
        <fgColor theme="0"/>
        <bgColor theme="0"/>
      </patternFill>
    </fill>
  </fills>
  <borders count="1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</border>
    <border>
      <right/>
      <top/>
    </border>
    <border>
      <left/>
      <right/>
      <top/>
    </border>
    <border>
      <left/>
      <bottom/>
    </border>
    <border>
      <right/>
      <bottom/>
    </border>
    <border>
      <left/>
      <right/>
      <bottom/>
    </border>
    <border>
      <left/>
      <right/>
      <top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3" numFmtId="0" xfId="0" applyAlignment="1" applyBorder="1" applyFont="1">
      <alignment shrinkToFit="0" wrapText="1"/>
    </xf>
    <xf borderId="0" fillId="0" fontId="4" numFmtId="0" xfId="0" applyFont="1"/>
    <xf borderId="2" fillId="0" fontId="3" numFmtId="0" xfId="0" applyAlignment="1" applyBorder="1" applyFont="1">
      <alignment shrinkToFit="0" wrapText="1"/>
    </xf>
    <xf borderId="0" fillId="0" fontId="5" numFmtId="0" xfId="0" applyAlignment="1" applyFont="1">
      <alignment horizontal="left" shrinkToFit="0" vertical="top" wrapText="1"/>
    </xf>
    <xf borderId="3" fillId="0" fontId="3" numFmtId="0" xfId="0" applyAlignment="1" applyBorder="1" applyFont="1">
      <alignment shrinkToFit="0" wrapText="1"/>
    </xf>
    <xf borderId="0" fillId="0" fontId="4" numFmtId="164" xfId="0" applyFont="1" applyNumberFormat="1"/>
    <xf borderId="0" fillId="0" fontId="4" numFmtId="165" xfId="0" applyFont="1" applyNumberFormat="1"/>
    <xf borderId="4" fillId="0" fontId="3" numFmtId="0" xfId="0" applyAlignment="1" applyBorder="1" applyFont="1">
      <alignment shrinkToFit="0" wrapText="1"/>
    </xf>
    <xf borderId="0" fillId="0" fontId="6" numFmtId="166" xfId="0" applyFont="1" applyNumberFormat="1"/>
    <xf borderId="4" fillId="0" fontId="3" numFmtId="167" xfId="0" applyAlignment="1" applyBorder="1" applyFont="1" applyNumberFormat="1">
      <alignment shrinkToFit="0" wrapText="1"/>
    </xf>
    <xf borderId="5" fillId="0" fontId="5" numFmtId="0" xfId="0" applyBorder="1" applyFont="1"/>
    <xf borderId="6" fillId="2" fontId="3" numFmtId="167" xfId="0" applyAlignment="1" applyBorder="1" applyFill="1" applyFont="1" applyNumberFormat="1">
      <alignment shrinkToFit="0" wrapText="1"/>
    </xf>
    <xf borderId="0" fillId="0" fontId="6" numFmtId="0" xfId="0" applyFont="1"/>
    <xf borderId="0" fillId="0" fontId="4" numFmtId="10" xfId="0" applyFont="1" applyNumberFormat="1"/>
    <xf borderId="0" fillId="0" fontId="2" numFmtId="167" xfId="0" applyFont="1" applyNumberFormat="1"/>
    <xf borderId="0" fillId="0" fontId="1" numFmtId="164" xfId="0" applyFont="1" applyNumberFormat="1"/>
    <xf borderId="0" fillId="0" fontId="5" numFmtId="0" xfId="0" applyFont="1"/>
    <xf borderId="0" fillId="0" fontId="5" numFmtId="0" xfId="0" applyAlignment="1" applyFont="1">
      <alignment shrinkToFit="0" vertical="top" wrapText="1"/>
    </xf>
    <xf borderId="0" fillId="0" fontId="6" numFmtId="0" xfId="0" applyAlignment="1" applyFont="1">
      <alignment shrinkToFit="0" vertical="top" wrapText="1"/>
    </xf>
    <xf borderId="5" fillId="3" fontId="7" numFmtId="168" xfId="0" applyBorder="1" applyFill="1" applyFont="1" applyNumberFormat="1"/>
    <xf borderId="5" fillId="3" fontId="5" numFmtId="0" xfId="0" applyBorder="1" applyFont="1"/>
    <xf borderId="5" fillId="3" fontId="5" numFmtId="169" xfId="0" applyBorder="1" applyFont="1" applyNumberFormat="1"/>
    <xf borderId="5" fillId="3" fontId="5" numFmtId="166" xfId="0" applyBorder="1" applyFont="1" applyNumberFormat="1"/>
    <xf borderId="7" fillId="4" fontId="8" numFmtId="0" xfId="0" applyAlignment="1" applyBorder="1" applyFill="1" applyFont="1">
      <alignment horizontal="center" shrinkToFit="0" vertical="center" wrapText="1"/>
    </xf>
    <xf borderId="8" fillId="0" fontId="9" numFmtId="0" xfId="0" applyBorder="1" applyFont="1"/>
    <xf borderId="9" fillId="4" fontId="10" numFmtId="0" xfId="0" applyAlignment="1" applyBorder="1" applyFont="1">
      <alignment horizontal="center" shrinkToFit="0" vertical="center" wrapText="1"/>
    </xf>
    <xf borderId="10" fillId="0" fontId="9" numFmtId="0" xfId="0" applyBorder="1" applyFont="1"/>
    <xf borderId="11" fillId="0" fontId="9" numFmtId="0" xfId="0" applyBorder="1" applyFont="1"/>
    <xf borderId="12" fillId="0" fontId="9" numFmtId="0" xfId="0" applyBorder="1" applyFont="1"/>
    <xf borderId="13" fillId="4" fontId="11" numFmtId="0" xfId="0" applyAlignment="1" applyBorder="1" applyFont="1">
      <alignment horizontal="center" shrinkToFit="0" vertical="center" wrapText="1"/>
    </xf>
    <xf borderId="14" fillId="4" fontId="12" numFmtId="0" xfId="0" applyAlignment="1" applyBorder="1" applyFont="1">
      <alignment horizontal="center" shrinkToFit="0" vertical="center" wrapText="1"/>
    </xf>
    <xf borderId="15" fillId="0" fontId="9" numFmtId="0" xfId="0" applyBorder="1" applyFont="1"/>
    <xf borderId="0" fillId="0" fontId="13" numFmtId="0" xfId="0" applyFont="1"/>
    <xf borderId="14" fillId="4" fontId="14" numFmtId="0" xfId="0" applyAlignment="1" applyBorder="1" applyFont="1">
      <alignment horizontal="center" shrinkToFit="0" vertical="center" wrapText="1"/>
    </xf>
    <xf borderId="0" fillId="0" fontId="4" numFmtId="168" xfId="0" applyFont="1" applyNumberFormat="1"/>
    <xf borderId="5" fillId="0" fontId="5" numFmtId="0" xfId="0" applyAlignment="1" applyBorder="1" applyFont="1">
      <alignment horizontal="right" readingOrder="0"/>
    </xf>
    <xf borderId="5" fillId="3" fontId="5" numFmtId="10" xfId="0" applyAlignment="1" applyBorder="1" applyFont="1" applyNumberFormat="1">
      <alignment horizontal="center"/>
    </xf>
    <xf borderId="5" fillId="0" fontId="5" numFmtId="168" xfId="0" applyAlignment="1" applyBorder="1" applyFont="1" applyNumberFormat="1">
      <alignment readingOrder="0" vertical="center"/>
    </xf>
    <xf borderId="5" fillId="3" fontId="5" numFmtId="0" xfId="0" applyAlignment="1" applyBorder="1" applyFont="1">
      <alignment horizontal="center"/>
    </xf>
    <xf borderId="5" fillId="0" fontId="5" numFmtId="170" xfId="0" applyAlignment="1" applyBorder="1" applyFont="1" applyNumberFormat="1">
      <alignment readingOrder="0"/>
    </xf>
    <xf borderId="5" fillId="3" fontId="5" numFmtId="168" xfId="0" applyAlignment="1" applyBorder="1" applyFont="1" applyNumberFormat="1">
      <alignment vertical="center"/>
    </xf>
    <xf borderId="5" fillId="0" fontId="5" numFmtId="0" xfId="0" applyAlignment="1" applyBorder="1" applyFont="1">
      <alignment readingOrder="0"/>
    </xf>
    <xf borderId="5" fillId="0" fontId="15" numFmtId="0" xfId="0" applyBorder="1" applyFont="1"/>
    <xf borderId="5" fillId="0" fontId="5" numFmtId="0" xfId="0" applyAlignment="1" applyBorder="1" applyFont="1">
      <alignment horizontal="center" readingOrder="0"/>
    </xf>
    <xf borderId="0" fillId="0" fontId="6" numFmtId="168" xfId="0" applyFont="1" applyNumberFormat="1"/>
    <xf borderId="5" fillId="0" fontId="5" numFmtId="10" xfId="0" applyAlignment="1" applyBorder="1" applyFont="1" applyNumberFormat="1">
      <alignment horizontal="center"/>
    </xf>
    <xf borderId="0" fillId="0" fontId="6" numFmtId="9" xfId="0" applyFont="1" applyNumberFormat="1"/>
    <xf borderId="5" fillId="5" fontId="6" numFmtId="0" xfId="0" applyBorder="1" applyFill="1" applyFont="1"/>
    <xf borderId="5" fillId="3" fontId="7" numFmtId="168" xfId="0" applyAlignment="1" applyBorder="1" applyFont="1" applyNumberFormat="1">
      <alignment readingOrder="0" vertical="center"/>
    </xf>
    <xf borderId="13" fillId="5" fontId="5" numFmtId="0" xfId="0" applyBorder="1" applyFont="1"/>
    <xf borderId="13" fillId="5" fontId="4" numFmtId="166" xfId="0" applyBorder="1" applyFont="1" applyNumberFormat="1"/>
    <xf borderId="13" fillId="5" fontId="4" numFmtId="0" xfId="0" applyBorder="1" applyFont="1"/>
    <xf borderId="5" fillId="3" fontId="5" numFmtId="10" xfId="0" applyAlignment="1" applyBorder="1" applyFont="1" applyNumberFormat="1">
      <alignment vertical="center"/>
    </xf>
    <xf borderId="13" fillId="5" fontId="2" numFmtId="168" xfId="0" applyBorder="1" applyFont="1" applyNumberFormat="1"/>
    <xf borderId="13" fillId="5" fontId="5" numFmtId="0" xfId="0" applyAlignment="1" applyBorder="1" applyFont="1">
      <alignment horizontal="left"/>
    </xf>
    <xf borderId="13" fillId="5" fontId="5" numFmtId="168" xfId="0" applyBorder="1" applyFont="1" applyNumberFormat="1"/>
    <xf borderId="13" fillId="5" fontId="5" numFmtId="10" xfId="0" applyAlignment="1" applyBorder="1" applyFont="1" applyNumberFormat="1">
      <alignment horizontal="center"/>
    </xf>
    <xf borderId="0" fillId="0" fontId="16" numFmtId="9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4" numFmtId="167" xfId="0" applyFont="1" applyNumberFormat="1"/>
    <xf borderId="0" fillId="0" fontId="4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895725" cy="1238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mailto:creditovibra@vibraresidencial.com.br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27.88"/>
    <col customWidth="1" min="3" max="3" width="3.13"/>
    <col customWidth="1" min="4" max="4" width="14.75"/>
    <col customWidth="1" min="5" max="5" width="20.75"/>
    <col customWidth="1" min="6" max="6" width="18.5"/>
    <col customWidth="1" min="7" max="7" width="16.38"/>
    <col customWidth="1" min="8" max="10" width="12.5"/>
    <col customWidth="1" min="11" max="11" width="13.75"/>
    <col customWidth="1" min="12" max="14" width="13.88"/>
    <col customWidth="1" min="15" max="16" width="10.5"/>
    <col customWidth="1" min="17" max="17" width="10.63"/>
    <col customWidth="1" min="18" max="26" width="8.0"/>
  </cols>
  <sheetData>
    <row r="1" ht="15.0" customHeight="1">
      <c r="A1" s="2"/>
      <c r="B1" s="2"/>
      <c r="C1" s="4"/>
      <c r="D1" s="6" t="s">
        <v>4</v>
      </c>
      <c r="G1" s="11">
        <f>B17*B20</f>
        <v>0</v>
      </c>
      <c r="H1" s="13" t="s">
        <v>19</v>
      </c>
      <c r="I1" s="13"/>
      <c r="J1" s="13"/>
      <c r="K1" s="13"/>
      <c r="L1" s="15"/>
      <c r="M1" s="4"/>
      <c r="N1" s="4"/>
      <c r="O1" s="4"/>
      <c r="P1" s="16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17"/>
      <c r="B2" s="11">
        <f>PV(E8/12,$E$10,($B$10*0.3-$B$21*IF(AND(B10&lt;=7000,B18="NÃO"),Parametros!$J$1,Parametros!$R$1)-IF(OR($B$10&gt;4000,B18="SIM"),Parametros!$J$2,0))+PV(E8/12,$E$10,($B$10*0.3-$B$21*IF(AND(B10&lt;=7000,B18="NÃO"),Parametros!$J$1,Parametros!$R$1)),0,0)*IF(AND(B10&lt;=7000,B18="NÃO"),VLOOKUP($B$12,Parametros!$E$1:$F$11,2,1),VLOOKUP($B$12,Parametros!$T$1:$U$11,2,1)),0,0)*-1</f>
        <v>92026.56433</v>
      </c>
      <c r="C2" s="4"/>
      <c r="G2" s="11">
        <f t="shared" ref="G2:G5" si="1">G1-G25</f>
        <v>0</v>
      </c>
      <c r="H2" s="13" t="s">
        <v>34</v>
      </c>
      <c r="I2" s="13"/>
      <c r="J2" s="13"/>
      <c r="K2" s="13"/>
      <c r="L2" s="19" t="s">
        <v>35</v>
      </c>
      <c r="M2" s="4"/>
      <c r="N2" s="4"/>
      <c r="O2" s="4"/>
      <c r="P2" s="16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/>
      <c r="B3" s="11"/>
      <c r="C3" s="4"/>
      <c r="D3" s="20"/>
      <c r="E3" s="20"/>
      <c r="F3" s="21">
        <f>MOD(YEAR(B11)+DAY(B11),6)</f>
        <v>0</v>
      </c>
      <c r="G3" s="11">
        <f t="shared" si="1"/>
        <v>0</v>
      </c>
      <c r="H3" s="22">
        <f t="shared" ref="H3:H27" si="2">$F$19+$G$19*J3</f>
        <v>12568.56187</v>
      </c>
      <c r="I3" s="23"/>
      <c r="J3" s="24"/>
      <c r="K3" s="25"/>
      <c r="L3" s="19" t="s">
        <v>36</v>
      </c>
      <c r="M3" s="4"/>
      <c r="N3" s="4"/>
      <c r="O3" s="4"/>
      <c r="P3" s="16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2"/>
      <c r="B4" s="11">
        <f>($B$10*0.3-$B$21*IF(AND(B10&lt;=7000,B18="NÃO"),Parametros!$J$1,Parametros!$R$1)-IF(OR($B$10&gt;4000,B18="SIM"),Parametros!$J$2,0))/((1/$E$10)+(E8/12)+IF(AND(B10&lt;=7000,B18="NÃO"),VLOOKUP($B$12,Parametros!$E$1:$F$11,2,1),VLOOKUP($B$12,Parametros!$T$1:$U$11,2,1)))</f>
        <v>72020.69653</v>
      </c>
      <c r="C4" s="4"/>
      <c r="D4" s="26" t="s">
        <v>37</v>
      </c>
      <c r="E4" s="27"/>
      <c r="F4" s="28" t="str">
        <f>IF(F3&lt;=2,"2S",IF(F3&lt;=4,"MAP","OBC"))</f>
        <v>2S</v>
      </c>
      <c r="G4" s="11">
        <f t="shared" si="1"/>
        <v>0</v>
      </c>
      <c r="H4" s="22">
        <f t="shared" si="2"/>
        <v>12568.56187</v>
      </c>
      <c r="I4" s="23"/>
      <c r="J4" s="24"/>
      <c r="K4" s="25"/>
      <c r="L4" s="16"/>
      <c r="M4" s="4"/>
      <c r="N4" s="4"/>
      <c r="O4" s="4"/>
      <c r="P4" s="16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2"/>
      <c r="B5" s="15"/>
      <c r="C5" s="4"/>
      <c r="D5" s="29"/>
      <c r="E5" s="30"/>
      <c r="F5" s="31"/>
      <c r="G5" s="11">
        <f t="shared" si="1"/>
        <v>0</v>
      </c>
      <c r="H5" s="22">
        <f t="shared" si="2"/>
        <v>13888.05888</v>
      </c>
      <c r="I5" s="23">
        <v>1.0</v>
      </c>
      <c r="J5" s="24">
        <v>0.017</v>
      </c>
      <c r="K5" s="25">
        <f>H5*$E$9/12+$B$21*IF($B$10&lt;=7000,Parametros!$J$1,Parametros!$R$1)+SIMULADOR!$E$17*IF($B$10&lt;=7000,VLOOKUP($B$12,Parametros!$E$1:$F$11,2,1),VLOOKUP($B$12,Parametros!$T$1:$U$11,2,1))+IF($B$10&gt;4000,Parametros!$J$2,0)</f>
        <v>95.06452027</v>
      </c>
      <c r="L5" s="16"/>
      <c r="M5" s="4"/>
      <c r="N5" s="4"/>
      <c r="O5" s="4"/>
      <c r="P5" s="16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2"/>
      <c r="B6" s="2"/>
      <c r="C6" s="4"/>
      <c r="D6" s="32" t="s">
        <v>38</v>
      </c>
      <c r="E6" s="33" t="str">
        <f>IF(F4="OBC","pre-analise@obcnegocios.com.br",IF(F4="MAP","gustavo@mapdecampos.adm.br","analise@2sni.com.br"))</f>
        <v>analise@2sni.com.br</v>
      </c>
      <c r="F6" s="34"/>
      <c r="G6" s="11"/>
      <c r="H6" s="22">
        <f t="shared" si="2"/>
        <v>15129.93842</v>
      </c>
      <c r="I6" s="23">
        <f t="shared" ref="I6:I27" si="3">I5+1</f>
        <v>2</v>
      </c>
      <c r="J6" s="24">
        <v>0.033</v>
      </c>
      <c r="K6" s="25">
        <f>H6*$E$9/12+$B$21*IF($B$10&lt;=7000,Parametros!$J$1,Parametros!$R$1)+SIMULADOR!$E$17*IF($B$10&lt;=7000,VLOOKUP($B$12,Parametros!$E$1:$F$11,2,1),VLOOKUP($B$12,Parametros!$T$1:$U$11,2,1))+IF($B$10&gt;4000,Parametros!$J$2,0)</f>
        <v>100.2390184</v>
      </c>
      <c r="L6" s="16"/>
      <c r="M6" s="4"/>
      <c r="N6" s="4"/>
      <c r="O6" s="4"/>
      <c r="P6" s="16"/>
      <c r="Q6" s="4"/>
      <c r="R6" s="4"/>
      <c r="S6" s="4"/>
      <c r="T6" s="4"/>
      <c r="U6" s="4"/>
      <c r="V6" s="4"/>
      <c r="W6" s="4"/>
      <c r="X6" s="4"/>
      <c r="Y6" s="4"/>
      <c r="Z6" s="4"/>
    </row>
    <row r="7" ht="18.0" customHeight="1">
      <c r="A7" s="35" t="s">
        <v>39</v>
      </c>
      <c r="B7" s="15"/>
      <c r="C7" s="4"/>
      <c r="D7" s="32" t="s">
        <v>40</v>
      </c>
      <c r="E7" s="36" t="s">
        <v>41</v>
      </c>
      <c r="F7" s="34"/>
      <c r="G7" s="11"/>
      <c r="H7" s="22">
        <f t="shared" si="2"/>
        <v>17070.3752</v>
      </c>
      <c r="I7" s="23">
        <f t="shared" si="3"/>
        <v>3</v>
      </c>
      <c r="J7" s="24">
        <v>0.058</v>
      </c>
      <c r="K7" s="25">
        <f>H7*$E$9/12+$B$21*IF($B$10&lt;=7000,Parametros!$J$1,Parametros!$R$1)+SIMULADOR!$E$17*IF($B$10&lt;=7000,VLOOKUP($B$12,Parametros!$E$1:$F$11,2,1),VLOOKUP($B$12,Parametros!$T$1:$U$11,2,1))+IF($B$10&gt;4000,Parametros!$J$2,0)</f>
        <v>108.3241716</v>
      </c>
      <c r="L7" s="16"/>
      <c r="M7" s="4"/>
      <c r="N7" s="4"/>
      <c r="O7" s="4"/>
      <c r="P7" s="16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15" t="s">
        <v>42</v>
      </c>
      <c r="E8" s="15">
        <f>IF(AND(B10&lt;=2600,B18="NÃO"),0.055,IF(AND(B10&lt;=3000,B18="NÃO"),0.06,IF(AND(B10&lt;=4000,B18="NÃO"),0.07,IF(AND(B10&lt;=7000,B18="NÃO"),0.0816,0.097978))))-IF(AND(B10&lt;=7000,B18="NÃO"),IF($B$15="sim",0.005,0),0)</f>
        <v>0.05</v>
      </c>
      <c r="F8" s="4"/>
      <c r="G8" s="4"/>
      <c r="H8" s="22">
        <f t="shared" si="2"/>
        <v>19398.89934</v>
      </c>
      <c r="I8" s="23">
        <f t="shared" si="3"/>
        <v>4</v>
      </c>
      <c r="J8" s="24">
        <v>0.088</v>
      </c>
      <c r="K8" s="25">
        <f>H8*$E$9/12+$B$21*IF($B$10&lt;=7000,Parametros!$J$1,Parametros!$R$1)+SIMULADOR!$E$17*IF($B$10&lt;=7000,VLOOKUP($B$12,Parametros!$E$1:$F$11,2,1),VLOOKUP($B$12,Parametros!$T$1:$U$11,2,1))+IF($B$10&gt;4000,Parametros!$J$2,0)</f>
        <v>118.0263555</v>
      </c>
      <c r="L8" s="4"/>
      <c r="M8" s="37"/>
      <c r="N8" s="4"/>
      <c r="O8" s="4"/>
      <c r="P8" s="16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3" t="s">
        <v>43</v>
      </c>
      <c r="B9" s="38" t="s">
        <v>44</v>
      </c>
      <c r="C9" s="4"/>
      <c r="D9" s="13" t="s">
        <v>45</v>
      </c>
      <c r="E9" s="39">
        <f>IF(AND(B10&lt;=2600,B18="NÃO"),0.055,IF(AND(B10&lt;=3000,B18="NÃO"),0.06,IF(AND(B10&lt;=4000,B18="NÃO"),0.07,IF(AND(B10&lt;=7000,B18="NÃO"),0.0816,0.084175))))-IF(AND(B10&lt;=7000,B18="NÃO"),IF($B$15="sim",0.005,0),0)</f>
        <v>0.05</v>
      </c>
      <c r="F9" s="13" t="str">
        <f>IF(E9&gt;0.085,"SBPE","MCMV")</f>
        <v>MCMV</v>
      </c>
      <c r="G9" s="4"/>
      <c r="H9" s="22">
        <f t="shared" si="2"/>
        <v>22115.51083</v>
      </c>
      <c r="I9" s="23">
        <f t="shared" si="3"/>
        <v>5</v>
      </c>
      <c r="J9" s="24">
        <v>0.123</v>
      </c>
      <c r="K9" s="25">
        <f>H9*$E$9/12+$B$21*IF($B$10&lt;=7000,Parametros!$J$1,Parametros!$R$1)+SIMULADOR!$E$17*IF($B$10&lt;=7000,VLOOKUP($B$12,Parametros!$E$1:$F$11,2,1),VLOOKUP($B$12,Parametros!$T$1:$U$11,2,1))+IF($B$10&gt;4000,Parametros!$J$2,0)</f>
        <v>129.34557</v>
      </c>
      <c r="L9" s="4"/>
      <c r="M9" s="37"/>
      <c r="N9" s="4"/>
      <c r="O9" s="4"/>
      <c r="P9" s="16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3" t="s">
        <v>46</v>
      </c>
      <c r="B10" s="40">
        <v>1776.0</v>
      </c>
      <c r="C10" s="4"/>
      <c r="D10" s="13" t="s">
        <v>47</v>
      </c>
      <c r="E10" s="41">
        <f>IF((79-B12)*12&gt;=360,360,(79-B12)*12)</f>
        <v>360</v>
      </c>
      <c r="F10" s="13" t="s">
        <v>48</v>
      </c>
      <c r="G10" s="37"/>
      <c r="H10" s="22">
        <f t="shared" si="2"/>
        <v>25220.20967</v>
      </c>
      <c r="I10" s="23">
        <f t="shared" si="3"/>
        <v>6</v>
      </c>
      <c r="J10" s="24">
        <v>0.163</v>
      </c>
      <c r="K10" s="25">
        <f>H10*$E$9/12+$B$21*IF($B$10&lt;=7000,Parametros!$J$1,Parametros!$R$1)+SIMULADOR!$E$17*IF($B$10&lt;=7000,VLOOKUP($B$12,Parametros!$E$1:$F$11,2,1),VLOOKUP($B$12,Parametros!$T$1:$U$11,2,1))+IF($B$10&gt;4000,Parametros!$J$2,0)</f>
        <v>142.2818152</v>
      </c>
      <c r="L10" s="4"/>
      <c r="M10" s="37"/>
      <c r="N10" s="4"/>
      <c r="O10" s="4"/>
      <c r="P10" s="1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3" t="s">
        <v>49</v>
      </c>
      <c r="B11" s="42">
        <v>30154.0</v>
      </c>
      <c r="C11" s="4"/>
      <c r="D11" s="13" t="s">
        <v>50</v>
      </c>
      <c r="E11" s="43">
        <f>IF(IF(B2&gt;((MIN($B$20,$B$21)*IF(OR(B10&gt;7000,B18="sim"),0.5,0.8))),(MIN($B$20,$B$21))*IF(OR(B10&gt;7000,B18="sim"),0.5,0.8),B2)+$E$13&gt;MIN($B$20,$B$21),MIN($B$20,$B$21)-$E$13,IF(B2&gt;(MIN($B$20,$B$21)*IF(OR(B10&gt;7000,B18="sim"),0.5,0.8)),(MIN($B$20,$B$21)*IF(OR(B10&gt;7000,B18="sim"),0.5,0.8)),B2))*0.98</f>
        <v>90186.03305</v>
      </c>
      <c r="F11" s="43">
        <f>(PMT($E$9/12,$E$10,$E$11))*-1+$B$21*IF($B$10&lt;=7000,Parametros!$J$1,Parametros!$R$1)+$E$11*IF($B$10&lt;=7000,VLOOKUP($B$12,Parametros!$E$1:$F$11,2,1),VLOOKUP($B$12,Parametros!$T$1:$U$11,2,1))+IF($B$10&gt;4000,Parametros!$J$2,0)</f>
        <v>521.3357346</v>
      </c>
      <c r="G11" s="37"/>
      <c r="H11" s="22">
        <f t="shared" si="2"/>
        <v>28712.99588</v>
      </c>
      <c r="I11" s="23">
        <f t="shared" si="3"/>
        <v>7</v>
      </c>
      <c r="J11" s="24">
        <v>0.208</v>
      </c>
      <c r="K11" s="25">
        <f>H11*$E$9/12+$B$21*IF($B$10&lt;=7000,Parametros!$J$1,Parametros!$R$1)+SIMULADOR!$E$17*IF($B$10&lt;=7000,VLOOKUP($B$12,Parametros!$E$1:$F$11,2,1),VLOOKUP($B$12,Parametros!$T$1:$U$11,2,1))+IF($B$10&gt;4000,Parametros!$J$2,0)</f>
        <v>156.8350911</v>
      </c>
      <c r="L11" s="4"/>
      <c r="M11" s="37"/>
      <c r="N11" s="4"/>
      <c r="O11" s="4"/>
      <c r="P11" s="1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3" t="s">
        <v>51</v>
      </c>
      <c r="B12" s="23">
        <f>ROUND((TODAY()-B11)/365,0)+3</f>
        <v>41</v>
      </c>
      <c r="C12" s="4"/>
      <c r="D12" s="13" t="s">
        <v>52</v>
      </c>
      <c r="E12" s="43">
        <f>IF(IF(B4&gt;(MIN($B$20,$B$21)*0.8),(MIN($B$20,$B$21))*0.8,B4)+$E$13&gt;MIN($B$20,$B$21),MIN($B$20,$B$21)-$E$13,IF(B4&gt;(MIN($B$20,$B$21)*0.8),(MIN($B$20,$B$21)*0.8),B4))*0.98</f>
        <v>70580.28259</v>
      </c>
      <c r="F12" s="43">
        <f>E12/E10+E12*E9/12+$B$21*IF($B$10&lt;=7000,Parametros!$J$1,Parametros!$R$1)+SIMULADOR!E12*IF($B$10&lt;=7000,VLOOKUP($B$12,Parametros!$E$1:$F$11,2,1),VLOOKUP($B$12,Parametros!$T$1:$U$11,2,1))+IF($B$10&gt;4000,Parametros!$J$2,0)</f>
        <v>522.437022</v>
      </c>
      <c r="G12" s="37"/>
      <c r="H12" s="22">
        <f t="shared" si="2"/>
        <v>32593.86944</v>
      </c>
      <c r="I12" s="23">
        <f t="shared" si="3"/>
        <v>8</v>
      </c>
      <c r="J12" s="24">
        <v>0.258</v>
      </c>
      <c r="K12" s="25">
        <f>H12*$E$9/12+$B$21*IF($B$10&lt;=7000,Parametros!$J$1,Parametros!$R$1)+SIMULADOR!$E$17*IF($B$10&lt;=7000,VLOOKUP($B$12,Parametros!$E$1:$F$11,2,1),VLOOKUP($B$12,Parametros!$T$1:$U$11,2,1))+IF($B$10&gt;4000,Parametros!$J$2,0)</f>
        <v>173.0053976</v>
      </c>
      <c r="L12" s="4"/>
      <c r="M12" s="37"/>
      <c r="N12" s="15" t="s">
        <v>53</v>
      </c>
      <c r="O12" s="4"/>
      <c r="P12" s="1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3" t="s">
        <v>54</v>
      </c>
      <c r="B13" s="44">
        <v>1.0</v>
      </c>
      <c r="C13" s="4"/>
      <c r="D13" s="13" t="s">
        <v>55</v>
      </c>
      <c r="E13" s="43">
        <f>ROUNDDOWN(IF(B18="sim",0,IF(B10&lt;=$A$24,$B$24*IF(OR($B$14="sim",B13&gt;=2),1,0.5),IF(AND($B$10&gt;=$A$27,$B$10&lt;=$A$28),$B$27,IF(B10&gt;=$A$28,0,0.0121413386957771*((B10-1800)^2)+-35.8169491525424*(B10-1800)+29000))*IF(OR($B$14="sim",B13&gt;=2),1,0.5))),0)</f>
        <v>29000</v>
      </c>
      <c r="F13" s="45"/>
      <c r="G13" s="4"/>
      <c r="H13" s="22">
        <f t="shared" si="2"/>
        <v>33525.27909</v>
      </c>
      <c r="I13" s="23">
        <f t="shared" si="3"/>
        <v>9</v>
      </c>
      <c r="J13" s="24">
        <v>0.27</v>
      </c>
      <c r="K13" s="25">
        <f>H13*$E$9/12+$B$21*IF($B$10&lt;=7000,Parametros!$J$1,Parametros!$R$1)+SIMULADOR!$E$17*IF($B$10&lt;=7000,VLOOKUP($B$12,Parametros!$E$1:$F$11,2,1),VLOOKUP($B$12,Parametros!$T$1:$U$11,2,1))+IF($B$10&gt;4000,Parametros!$J$2,0)</f>
        <v>176.8862711</v>
      </c>
      <c r="L13" s="16"/>
      <c r="M13" s="37"/>
      <c r="N13" s="15" t="s">
        <v>20</v>
      </c>
      <c r="O13" s="4"/>
      <c r="P13" s="1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3" t="s">
        <v>56</v>
      </c>
      <c r="B14" s="46" t="s">
        <v>17</v>
      </c>
      <c r="C14" s="4"/>
      <c r="D14" s="4"/>
      <c r="E14" s="4"/>
      <c r="F14" s="4"/>
      <c r="G14" s="4"/>
      <c r="H14" s="22">
        <f t="shared" si="2"/>
        <v>37406.15265</v>
      </c>
      <c r="I14" s="23">
        <f t="shared" si="3"/>
        <v>10</v>
      </c>
      <c r="J14" s="24">
        <v>0.32</v>
      </c>
      <c r="K14" s="25">
        <f>H14*$E$9/12+$B$21*IF($B$10&lt;=7000,Parametros!$J$1,Parametros!$R$1)+SIMULADOR!$E$17*IF($B$10&lt;=7000,VLOOKUP($B$12,Parametros!$E$1:$F$11,2,1),VLOOKUP($B$12,Parametros!$T$1:$U$11,2,1))+IF($B$10&gt;4000,Parametros!$J$2,0)</f>
        <v>193.0565776</v>
      </c>
      <c r="L14" s="16"/>
      <c r="M14" s="37"/>
      <c r="N14" s="47">
        <f>IF(F15=N12,E11,IF(F15=N13,E12))</f>
        <v>90186.03305</v>
      </c>
      <c r="O14" s="4"/>
      <c r="P14" s="1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3" t="s">
        <v>57</v>
      </c>
      <c r="B15" s="46" t="s">
        <v>17</v>
      </c>
      <c r="C15" s="4"/>
      <c r="D15" s="4"/>
      <c r="E15" s="43" t="s">
        <v>58</v>
      </c>
      <c r="F15" s="44" t="s">
        <v>53</v>
      </c>
      <c r="G15" s="4"/>
      <c r="H15" s="22">
        <f t="shared" si="2"/>
        <v>39734.67678</v>
      </c>
      <c r="I15" s="23">
        <f t="shared" si="3"/>
        <v>11</v>
      </c>
      <c r="J15" s="24">
        <v>0.35</v>
      </c>
      <c r="K15" s="25">
        <f>H15*$E$9/12+$B$21*IF($B$10&lt;=7000,Parametros!$J$1,Parametros!$R$1)+SIMULADOR!$E$17*IF($B$10&lt;=7000,VLOOKUP($B$12,Parametros!$E$1:$F$11,2,1),VLOOKUP($B$12,Parametros!$T$1:$U$11,2,1))+IF($B$10&gt;4000,Parametros!$J$2,0)</f>
        <v>202.7587615</v>
      </c>
      <c r="L15" s="16"/>
      <c r="M15" s="4"/>
      <c r="N15" s="47">
        <f>IF(F15=N12,F11,IF(F15=N13,F12))</f>
        <v>521.3357346</v>
      </c>
      <c r="O15" s="4"/>
      <c r="P15" s="16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3" t="s">
        <v>59</v>
      </c>
      <c r="B16" s="40">
        <v>8000.0</v>
      </c>
      <c r="C16" s="4"/>
      <c r="D16" s="13" t="s">
        <v>60</v>
      </c>
      <c r="E16" s="43">
        <f>B20</f>
        <v>168000</v>
      </c>
      <c r="F16" s="47"/>
      <c r="G16" s="15">
        <f>(B22-E19)*F17</f>
        <v>6552440.437</v>
      </c>
      <c r="H16" s="22">
        <f t="shared" si="2"/>
        <v>37406.15265</v>
      </c>
      <c r="I16" s="23">
        <f t="shared" si="3"/>
        <v>12</v>
      </c>
      <c r="J16" s="24">
        <v>0.32</v>
      </c>
      <c r="K16" s="25">
        <f>H16*$E$9/12+$B$21*IF($B$10&lt;=7000,Parametros!$J$1,Parametros!$R$1)+SIMULADOR!$E$17*IF($B$10&lt;=7000,VLOOKUP($B$12,Parametros!$E$1:$F$11,2,1),VLOOKUP($B$12,Parametros!$T$1:$U$11,2,1))+IF($B$10&gt;4000,Parametros!$J$2,0)</f>
        <v>193.0565776</v>
      </c>
      <c r="L16" s="16"/>
      <c r="M16" s="4"/>
      <c r="N16" s="4"/>
      <c r="O16" s="4"/>
      <c r="P16" s="16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3" t="s">
        <v>61</v>
      </c>
      <c r="B17" s="48"/>
      <c r="C17" s="4"/>
      <c r="D17" s="13" t="s">
        <v>62</v>
      </c>
      <c r="E17" s="43">
        <f>IF(E16-E19-E18-N14-E24&lt;0,E16-E24-E19-E18,N14)</f>
        <v>90186.03305</v>
      </c>
      <c r="F17" s="43">
        <f>N15</f>
        <v>521.3357346</v>
      </c>
      <c r="G17" s="47">
        <f>E17-G16</f>
        <v>-6462254.404</v>
      </c>
      <c r="H17" s="22">
        <f t="shared" si="2"/>
        <v>43615.55034</v>
      </c>
      <c r="I17" s="23">
        <f t="shared" si="3"/>
        <v>13</v>
      </c>
      <c r="J17" s="24">
        <v>0.4</v>
      </c>
      <c r="K17" s="25">
        <f>H17*$E$9/12+$B$21*IF($B$10&lt;=7000,Parametros!$J$1,Parametros!$R$1)+SIMULADOR!$E$17*IF($B$10&lt;=7000,VLOOKUP($B$12,Parametros!$E$1:$F$11,2,1),VLOOKUP($B$12,Parametros!$T$1:$U$11,2,1))+IF($B$10&gt;4000,Parametros!$J$2,0)</f>
        <v>218.929068</v>
      </c>
      <c r="L17" s="16"/>
      <c r="M17" s="4"/>
      <c r="N17" s="4"/>
      <c r="O17" s="4"/>
      <c r="P17" s="16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3" t="s">
        <v>63</v>
      </c>
      <c r="B18" s="46" t="s">
        <v>18</v>
      </c>
      <c r="C18" s="4"/>
      <c r="D18" s="13" t="s">
        <v>64</v>
      </c>
      <c r="E18" s="43">
        <f>E13</f>
        <v>29000</v>
      </c>
      <c r="F18" s="49"/>
      <c r="G18" s="47"/>
      <c r="H18" s="22">
        <f t="shared" si="2"/>
        <v>50368.27033</v>
      </c>
      <c r="I18" s="23">
        <f t="shared" si="3"/>
        <v>14</v>
      </c>
      <c r="J18" s="24">
        <v>0.48700000000000004</v>
      </c>
      <c r="K18" s="25">
        <f>H18*$E$9/12+$B$21*IF($B$10&lt;=7000,Parametros!$J$1,Parametros!$R$1)+SIMULADOR!$E$17*IF($B$10&lt;=7000,VLOOKUP($B$12,Parametros!$E$1:$F$11,2,1),VLOOKUP($B$12,Parametros!$T$1:$U$11,2,1))+IF($B$10&gt;4000,Parametros!$J$2,0)</f>
        <v>247.0654013</v>
      </c>
      <c r="L18" s="16"/>
      <c r="M18" s="4"/>
      <c r="N18" s="4"/>
      <c r="O18" s="4"/>
      <c r="P18" s="16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 customHeight="1">
      <c r="A19" s="13" t="s">
        <v>65</v>
      </c>
      <c r="B19" s="46" t="s">
        <v>15</v>
      </c>
      <c r="C19" s="4"/>
      <c r="D19" s="13" t="s">
        <v>66</v>
      </c>
      <c r="E19" s="43">
        <f>B16</f>
        <v>8000</v>
      </c>
      <c r="F19" s="11">
        <f>IF(E19&gt;B22,0,B22-E19)</f>
        <v>12568.56187</v>
      </c>
      <c r="G19" s="47">
        <f>E17-F19</f>
        <v>77617.47117</v>
      </c>
      <c r="H19" s="22">
        <f t="shared" si="2"/>
        <v>57276.22527</v>
      </c>
      <c r="I19" s="23">
        <f t="shared" si="3"/>
        <v>15</v>
      </c>
      <c r="J19" s="24">
        <v>0.5760000000000001</v>
      </c>
      <c r="K19" s="25">
        <f>H19*$E$9/12+$B$21*IF($B$10&lt;=7000,Parametros!$J$1,Parametros!$R$1)+SIMULADOR!$E$17*IF($B$10&lt;=7000,VLOOKUP($B$12,Parametros!$E$1:$F$11,2,1),VLOOKUP($B$12,Parametros!$T$1:$U$11,2,1))+IF($B$10&gt;4000,Parametros!$J$2,0)</f>
        <v>275.8485469</v>
      </c>
      <c r="L19" s="16"/>
      <c r="M19" s="4"/>
      <c r="N19" s="4"/>
      <c r="O19" s="4"/>
      <c r="P19" s="1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13" t="s">
        <v>67</v>
      </c>
      <c r="B20" s="40">
        <v>168000.0</v>
      </c>
      <c r="C20" s="4"/>
      <c r="D20" s="4"/>
      <c r="E20" s="4"/>
      <c r="F20" s="15"/>
      <c r="G20" s="15"/>
      <c r="H20" s="22">
        <f t="shared" si="2"/>
        <v>63951.32779</v>
      </c>
      <c r="I20" s="23">
        <f t="shared" si="3"/>
        <v>16</v>
      </c>
      <c r="J20" s="24">
        <v>0.662</v>
      </c>
      <c r="K20" s="25">
        <f>H20*$E$9/12+$B$21*IF($B$10&lt;=7000,Parametros!$J$1,Parametros!$R$1)+SIMULADOR!$E$17*IF($B$10&lt;=7000,VLOOKUP($B$12,Parametros!$E$1:$F$11,2,1),VLOOKUP($B$12,Parametros!$T$1:$U$11,2,1))+IF($B$10&gt;4000,Parametros!$J$2,0)</f>
        <v>303.6614741</v>
      </c>
      <c r="L20" s="16"/>
      <c r="M20" s="4"/>
      <c r="N20" s="4"/>
      <c r="O20" s="4"/>
      <c r="P20" s="1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50" t="s">
        <v>68</v>
      </c>
      <c r="B21" s="51">
        <v>200700.0</v>
      </c>
      <c r="C21" s="4"/>
      <c r="D21" s="13" t="s">
        <v>69</v>
      </c>
      <c r="E21" s="43">
        <f>E16-E17-E18-E19</f>
        <v>40813.96695</v>
      </c>
      <c r="F21" s="15"/>
      <c r="G21" s="15">
        <v>1787.3215818922545</v>
      </c>
      <c r="H21" s="22">
        <f t="shared" si="2"/>
        <v>69384.55077</v>
      </c>
      <c r="I21" s="23">
        <f t="shared" si="3"/>
        <v>17</v>
      </c>
      <c r="J21" s="24">
        <v>0.732</v>
      </c>
      <c r="K21" s="25">
        <f>H21*$E$9/12+$B$21*IF($B$10&lt;=7000,Parametros!$J$1,Parametros!$R$1)+SIMULADOR!$E$17*IF($B$10&lt;=7000,VLOOKUP($B$12,Parametros!$E$1:$F$11,2,1),VLOOKUP($B$12,Parametros!$T$1:$U$11,2,1))+IF($B$10&gt;4000,Parametros!$J$2,0)</f>
        <v>326.2999031</v>
      </c>
      <c r="L21" s="16"/>
      <c r="M21" s="4"/>
      <c r="N21" s="4"/>
      <c r="O21" s="4"/>
      <c r="P21" s="16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15" t="s">
        <v>70</v>
      </c>
      <c r="B22" s="15">
        <f>12300000/598</f>
        <v>20568.56187</v>
      </c>
      <c r="C22" s="4"/>
      <c r="D22" s="52"/>
      <c r="E22" s="53"/>
      <c r="F22" s="54"/>
      <c r="G22" s="54"/>
      <c r="H22" s="22">
        <f t="shared" si="2"/>
        <v>74041.59904</v>
      </c>
      <c r="I22" s="23">
        <f t="shared" si="3"/>
        <v>18</v>
      </c>
      <c r="J22" s="24">
        <v>0.792</v>
      </c>
      <c r="K22" s="25">
        <f>H22*$E$9/12+$B$21*IF($B$10&lt;=7000,Parametros!$J$1,Parametros!$R$1)+SIMULADOR!$E$17*IF($B$10&lt;=7000,VLOOKUP($B$12,Parametros!$E$1:$F$11,2,1),VLOOKUP($B$12,Parametros!$T$1:$U$11,2,1))+IF($B$10&gt;4000,Parametros!$J$2,0)</f>
        <v>345.7042709</v>
      </c>
      <c r="L22" s="16"/>
      <c r="M22" s="4"/>
      <c r="N22" s="4"/>
      <c r="O22" s="4"/>
      <c r="P22" s="16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19" t="s">
        <v>71</v>
      </c>
      <c r="B23" s="37"/>
      <c r="C23" s="4"/>
      <c r="D23" s="4"/>
      <c r="E23" s="13" t="s">
        <v>72</v>
      </c>
      <c r="F23" s="13" t="s">
        <v>73</v>
      </c>
      <c r="G23" s="13" t="s">
        <v>74</v>
      </c>
      <c r="H23" s="22">
        <f t="shared" si="2"/>
        <v>78310.55996</v>
      </c>
      <c r="I23" s="23">
        <f t="shared" si="3"/>
        <v>19</v>
      </c>
      <c r="J23" s="24">
        <v>0.847</v>
      </c>
      <c r="K23" s="25">
        <f>H23*$E$9/12+$B$21*IF($B$10&lt;=7000,Parametros!$J$1,Parametros!$R$1)+SIMULADOR!$E$17*IF($B$10&lt;=7000,VLOOKUP($B$12,Parametros!$E$1:$F$11,2,1),VLOOKUP($B$12,Parametros!$T$1:$U$11,2,1))+IF($B$10&gt;4000,Parametros!$J$2,0)</f>
        <v>363.4916081</v>
      </c>
      <c r="L23" s="16"/>
      <c r="M23" s="4"/>
      <c r="N23" s="4"/>
      <c r="O23" s="4"/>
      <c r="P23" s="16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15">
        <v>1800.0</v>
      </c>
      <c r="B24" s="15">
        <v>29000.0</v>
      </c>
      <c r="C24" s="4"/>
      <c r="D24" s="13" t="s">
        <v>75</v>
      </c>
      <c r="E24" s="40"/>
      <c r="F24" s="43">
        <f t="shared" ref="F24:F25" si="4">E24-G24</f>
        <v>0</v>
      </c>
      <c r="G24" s="43">
        <f>IF(E24*0.7&gt;B20*B17,B20*B17,E24*0.7)</f>
        <v>0</v>
      </c>
      <c r="H24" s="22">
        <f t="shared" si="2"/>
        <v>82424.28593</v>
      </c>
      <c r="I24" s="23">
        <f t="shared" si="3"/>
        <v>20</v>
      </c>
      <c r="J24" s="24">
        <v>0.9</v>
      </c>
      <c r="K24" s="25">
        <f>H24*$E$9/12+$B$21*IF($B$10&lt;=7000,Parametros!$J$1,Parametros!$R$1)+SIMULADOR!$E$17*IF($B$10&lt;=7000,VLOOKUP($B$12,Parametros!$E$1:$F$11,2,1),VLOOKUP($B$12,Parametros!$T$1:$U$11,2,1))+IF($B$10&gt;4000,Parametros!$J$2,0)</f>
        <v>380.632133</v>
      </c>
      <c r="L24" s="16"/>
      <c r="M24" s="4"/>
      <c r="N24" s="4"/>
      <c r="O24" s="4"/>
      <c r="P24" s="16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3.5" customHeight="1">
      <c r="A25" s="15">
        <v>2350.0</v>
      </c>
      <c r="B25" s="15">
        <v>14765.0</v>
      </c>
      <c r="C25" s="4"/>
      <c r="D25" s="13" t="s">
        <v>76</v>
      </c>
      <c r="E25" s="43">
        <f>E21-E24</f>
        <v>40813.96695</v>
      </c>
      <c r="F25" s="43">
        <f t="shared" si="4"/>
        <v>40813.96695</v>
      </c>
      <c r="G25" s="43">
        <f>B20*B17-G24</f>
        <v>0</v>
      </c>
      <c r="H25" s="22">
        <f t="shared" si="2"/>
        <v>86305.15949</v>
      </c>
      <c r="I25" s="23">
        <f t="shared" si="3"/>
        <v>21</v>
      </c>
      <c r="J25" s="24">
        <v>0.95</v>
      </c>
      <c r="K25" s="25">
        <f>H25*$E$9/12+$B$21*IF($B$10&lt;=7000,Parametros!$J$1,Parametros!$R$1)+SIMULADOR!$E$17*IF($B$10&lt;=7000,VLOOKUP($B$12,Parametros!$E$1:$F$11,2,1),VLOOKUP($B$12,Parametros!$T$1:$U$11,2,1))+IF($B$10&gt;4000,Parametros!$J$2,0)</f>
        <v>396.8024395</v>
      </c>
      <c r="L25" s="16"/>
      <c r="M25" s="4"/>
      <c r="N25" s="4"/>
      <c r="O25" s="4"/>
      <c r="P25" s="16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15">
        <v>2790.0</v>
      </c>
      <c r="B26" s="15">
        <v>6115.0</v>
      </c>
      <c r="C26" s="4"/>
      <c r="D26" s="13" t="s">
        <v>77</v>
      </c>
      <c r="E26" s="55"/>
      <c r="F26" s="55">
        <f>E25/B20</f>
        <v>0.2429402795</v>
      </c>
      <c r="G26" s="56"/>
      <c r="H26" s="22">
        <f t="shared" si="2"/>
        <v>88633.68362</v>
      </c>
      <c r="I26" s="23">
        <f t="shared" si="3"/>
        <v>22</v>
      </c>
      <c r="J26" s="24">
        <v>0.98</v>
      </c>
      <c r="K26" s="25">
        <f>H26*$E$9/12+$B$21*IF($B$10&lt;=7000,Parametros!$J$1,Parametros!$R$1)+SIMULADOR!$E$17*IF($B$10&lt;=7000,VLOOKUP($B$12,Parametros!$E$1:$F$11,2,1),VLOOKUP($B$12,Parametros!$T$1:$U$11,2,1))+IF($B$10&gt;4000,Parametros!$J$2,0)</f>
        <v>406.5046234</v>
      </c>
      <c r="L26" s="16"/>
      <c r="M26" s="4"/>
      <c r="N26" s="4"/>
      <c r="O26" s="4"/>
      <c r="P26" s="16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15">
        <v>3275.0</v>
      </c>
      <c r="B27" s="15">
        <v>2585.0</v>
      </c>
      <c r="C27" s="4"/>
      <c r="D27" s="57"/>
      <c r="E27" s="58"/>
      <c r="F27" s="58"/>
      <c r="G27" s="58"/>
      <c r="H27" s="22">
        <f t="shared" si="2"/>
        <v>90186.03305</v>
      </c>
      <c r="I27" s="23">
        <f t="shared" si="3"/>
        <v>23</v>
      </c>
      <c r="J27" s="24">
        <v>1.0</v>
      </c>
      <c r="K27" s="25">
        <f>H27*$E$9/12+$B$21*IF($B$10&lt;=7000,Parametros!$J$1,Parametros!$R$1)+SIMULADOR!$E$17*IF($B$10&lt;=7000,VLOOKUP($B$12,Parametros!$E$1:$F$11,2,1),VLOOKUP($B$12,Parametros!$T$1:$U$11,2,1))+IF($B$10&gt;4000,Parametros!$J$2,0)</f>
        <v>412.972746</v>
      </c>
      <c r="L27" s="16"/>
      <c r="M27" s="4"/>
      <c r="N27" s="4"/>
      <c r="O27" s="4"/>
      <c r="P27" s="16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15">
        <v>4000.0</v>
      </c>
      <c r="B28" s="15"/>
      <c r="C28" s="4"/>
      <c r="D28" s="57"/>
      <c r="E28" s="58"/>
      <c r="F28" s="58"/>
      <c r="G28" s="58"/>
      <c r="H28" s="22"/>
      <c r="I28" s="23"/>
      <c r="J28" s="24"/>
      <c r="K28" s="25"/>
      <c r="L28" s="16"/>
      <c r="M28" s="4"/>
      <c r="N28" s="4"/>
      <c r="O28" s="4"/>
      <c r="P28" s="16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15"/>
      <c r="B29" s="15"/>
      <c r="C29" s="4"/>
      <c r="D29" s="57"/>
      <c r="E29" s="58"/>
      <c r="F29" s="58"/>
      <c r="G29" s="58"/>
      <c r="H29" s="22"/>
      <c r="I29" s="23"/>
      <c r="J29" s="24"/>
      <c r="K29" s="25"/>
      <c r="L29" s="4"/>
      <c r="M29" s="4"/>
      <c r="N29" s="4"/>
      <c r="O29" s="4"/>
      <c r="P29" s="16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2"/>
      <c r="B30" s="2"/>
      <c r="C30" s="4"/>
      <c r="D30" s="57"/>
      <c r="E30" s="59"/>
      <c r="F30" s="59"/>
      <c r="G30" s="59"/>
      <c r="H30" s="4"/>
      <c r="I30" s="4"/>
      <c r="J30" s="4"/>
      <c r="K30" s="4"/>
      <c r="L30" s="4"/>
      <c r="M30" s="4"/>
      <c r="N30" s="4"/>
      <c r="O30" s="4"/>
      <c r="P30" s="16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2"/>
      <c r="B31" s="2"/>
      <c r="C31" s="4"/>
      <c r="D31" s="54"/>
      <c r="E31" s="54"/>
      <c r="F31" s="54"/>
      <c r="G31" s="54"/>
      <c r="H31" s="4"/>
      <c r="I31" s="4"/>
      <c r="J31" s="4"/>
      <c r="K31" s="4"/>
      <c r="L31" s="4"/>
      <c r="M31" s="4"/>
      <c r="N31" s="4"/>
      <c r="O31" s="4"/>
      <c r="P31" s="16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2"/>
      <c r="B32" s="2"/>
      <c r="C32" s="4"/>
      <c r="D32" s="1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6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2"/>
      <c r="B33" s="2"/>
      <c r="C33" s="4"/>
      <c r="D33" s="1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4"/>
      <c r="B34" s="4"/>
      <c r="C34" s="4"/>
      <c r="D34" s="1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19"/>
      <c r="E35" s="4"/>
      <c r="F35" s="4"/>
      <c r="G35" s="4"/>
      <c r="H35" s="4"/>
      <c r="I35" s="4"/>
      <c r="J35" s="4"/>
      <c r="K35" s="4"/>
      <c r="L35" s="60"/>
      <c r="M35" s="60"/>
      <c r="N35" s="60"/>
      <c r="O35" s="4"/>
      <c r="P35" s="16"/>
      <c r="Q35" s="61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1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62"/>
      <c r="C37" s="4"/>
      <c r="D37" s="63"/>
      <c r="E37" s="63"/>
      <c r="F37" s="4"/>
      <c r="G37" s="64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6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6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6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6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6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6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6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6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6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6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6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6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6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6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6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6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6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6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6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6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6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6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6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6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6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6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6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6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6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6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6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6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6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16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16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16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6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16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16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16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16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16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6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6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6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6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6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6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6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6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6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6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6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6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6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6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6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6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6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6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6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6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16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16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16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16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16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16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16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16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16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16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16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6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6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16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16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16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16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16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16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16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16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6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6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16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16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16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16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16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16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16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16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16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16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6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6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6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6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6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6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6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6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6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6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16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16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16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16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16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16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16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6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16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16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16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6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6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16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16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6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16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16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16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16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16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16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16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16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16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16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16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16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16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16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16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16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16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16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16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16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6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16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16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16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16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6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6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16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16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16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16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16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16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16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16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16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16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16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6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16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16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16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16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16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16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16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16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16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16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16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16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16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16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16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16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16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16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16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16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16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16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16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16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16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16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16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16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16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16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16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16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16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16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16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16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16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6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16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16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16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16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16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6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16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16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6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6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16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16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16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16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16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16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6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6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16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16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16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16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16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16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16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16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16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16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16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16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16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16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6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16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16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16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16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16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16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16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16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6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16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16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16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16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16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16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16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6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6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16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16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16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16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16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6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16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6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6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6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16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16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16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16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16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16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16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16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16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16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16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16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16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16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16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16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16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16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16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16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16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16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16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6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16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16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16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16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16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16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16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6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16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16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16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16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16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16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16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16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16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16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16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16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16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16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16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16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16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16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16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16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16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16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16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16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16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16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16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16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16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16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16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16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16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16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16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16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16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16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16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16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16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16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16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16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16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16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16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16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16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16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16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16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16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16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16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16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16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16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16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16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16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16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16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16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16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16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16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16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16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16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16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16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16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16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16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16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16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16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16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16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16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16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16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16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16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16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16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16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16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16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16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16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16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16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16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16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16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16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16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16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16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16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16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16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16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16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16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16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16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16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16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16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16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16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16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16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16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16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16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16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16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16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16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16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16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16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16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16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16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16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16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16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16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16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16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16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16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16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16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16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16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16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16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16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16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16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16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16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16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16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16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16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16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16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16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16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16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16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16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16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16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16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16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16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16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16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16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16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16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16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16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16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16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16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16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16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16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16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16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16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16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16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16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16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16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16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16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16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16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16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16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16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16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16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16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16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16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16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16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16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16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16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16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16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16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16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16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16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16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16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16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16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16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16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16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16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16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16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16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16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16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16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16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16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16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16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16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16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16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16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16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16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16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16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16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16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16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16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16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16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16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16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16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16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16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16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16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16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16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16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16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16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16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16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16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16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16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16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16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16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16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16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16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16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16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16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16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16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16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16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16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16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16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16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16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16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16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16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16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16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16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16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16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16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16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16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16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16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16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16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16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16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16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16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16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16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16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16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16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16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16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16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16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16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16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16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16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16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16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16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16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16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16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16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16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16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16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16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16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16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16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16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16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16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16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16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16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16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16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16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16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16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16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16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16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16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16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16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16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16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16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16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16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16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16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16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16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16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16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16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16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16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16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16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16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16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16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16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16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16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16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16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16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16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16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16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16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16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16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16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16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16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16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16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16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16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16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16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16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16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16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16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16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16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16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16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16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16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16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16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16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16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16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16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16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16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16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16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16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16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16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16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16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16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16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16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16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16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16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16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16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16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16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16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16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16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16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16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16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16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16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16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16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16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16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16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16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16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16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16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16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16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16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16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16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16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16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16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16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16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16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16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16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16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16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16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16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16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16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16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16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16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16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16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16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16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16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16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16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16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16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16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16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16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16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16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16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16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16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16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16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16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16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16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16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16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16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16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16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16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16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16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16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16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16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16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16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16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16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16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16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16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16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16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16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16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16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16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16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16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16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16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16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16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16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16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16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16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16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16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16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16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16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16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16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16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16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16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16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16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16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16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16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16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16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16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16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16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16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16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16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16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16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16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16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16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16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16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16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16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16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16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16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16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16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16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16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16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16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16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16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16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16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16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16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16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16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16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16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16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16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16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16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16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16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16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16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16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16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16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16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16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16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16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16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16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16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16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16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16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16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16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16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16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16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16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16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16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16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16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16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16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16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16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16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16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16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16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16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16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16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16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16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16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16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16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16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16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16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16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16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16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16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16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16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16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16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16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16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16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16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16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16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16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16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16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16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16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16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16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16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16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16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16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16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16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16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16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16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16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16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16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16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16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16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16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16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16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16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16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16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16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16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16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16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16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16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D1:F2"/>
    <mergeCell ref="D4:E5"/>
    <mergeCell ref="F4:F5"/>
    <mergeCell ref="E6:F6"/>
    <mergeCell ref="E7:F7"/>
  </mergeCells>
  <dataValidations>
    <dataValidation type="list" allowBlank="1" showErrorMessage="1" sqref="B19">
      <formula1>Planilha1!$C$4:$C$6</formula1>
    </dataValidation>
    <dataValidation type="list" allowBlank="1" showErrorMessage="1" sqref="B36">
      <formula1>Parametros!$J$18:$J$19</formula1>
    </dataValidation>
    <dataValidation type="list" allowBlank="1" showErrorMessage="1" sqref="B13">
      <formula1>Parametros!$A$7:$A$11</formula1>
    </dataValidation>
    <dataValidation type="list" allowBlank="1" showErrorMessage="1" sqref="B29">
      <formula1>Parametros!$I$8:$I$9</formula1>
    </dataValidation>
    <dataValidation type="list" allowBlank="1" showErrorMessage="1" sqref="F15">
      <formula1>$N$12:$N$13</formula1>
    </dataValidation>
    <dataValidation type="list" allowBlank="1" showErrorMessage="1" sqref="B14:B15 B18">
      <formula1>Parametros!$A$3:$A$4</formula1>
    </dataValidation>
  </dataValidations>
  <hyperlinks>
    <hyperlink r:id="rId2" ref="E7"/>
  </hyperlinks>
  <printOptions/>
  <pageMargins bottom="0.75" footer="0.0" header="0.0" left="0.25" right="0.25" top="0.75"/>
  <pageSetup paperSize="9" orientation="landscape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8" width="7.63"/>
    <col customWidth="1" min="9" max="9" width="13.5"/>
    <col customWidth="1" min="10" max="10" width="14.13"/>
    <col customWidth="1" min="11" max="17" width="7.63"/>
    <col customWidth="1" min="18" max="18" width="11.63"/>
    <col customWidth="1" min="19" max="26" width="7.63"/>
  </cols>
  <sheetData>
    <row r="1">
      <c r="A1" s="1" t="s">
        <v>1</v>
      </c>
      <c r="E1" s="1">
        <v>0.0</v>
      </c>
      <c r="F1" s="8">
        <v>1.0E-4</v>
      </c>
      <c r="G1" s="1" t="s">
        <v>11</v>
      </c>
      <c r="I1" s="1" t="s">
        <v>12</v>
      </c>
      <c r="J1" s="9">
        <v>7.3E-5</v>
      </c>
      <c r="Q1" s="1" t="s">
        <v>13</v>
      </c>
      <c r="R1" s="9">
        <v>7.8E-5</v>
      </c>
      <c r="T1" s="1">
        <v>0.0</v>
      </c>
      <c r="U1" s="8">
        <v>1.15E-4</v>
      </c>
    </row>
    <row r="2">
      <c r="E2" s="1">
        <v>31.0</v>
      </c>
      <c r="F2" s="8">
        <v>1.15E-4</v>
      </c>
      <c r="I2" s="1" t="s">
        <v>14</v>
      </c>
      <c r="J2" s="1">
        <v>25.0</v>
      </c>
      <c r="T2" s="1">
        <v>26.0</v>
      </c>
      <c r="U2" s="8">
        <v>1.21E-4</v>
      </c>
    </row>
    <row r="3">
      <c r="A3" s="1" t="s">
        <v>17</v>
      </c>
      <c r="E3" s="1">
        <v>36.0</v>
      </c>
      <c r="F3" s="8">
        <v>1.6E-4</v>
      </c>
      <c r="T3" s="1">
        <v>31.0</v>
      </c>
      <c r="U3" s="8">
        <v>1.78E-4</v>
      </c>
    </row>
    <row r="4">
      <c r="A4" s="1" t="s">
        <v>18</v>
      </c>
      <c r="E4" s="1">
        <v>41.0</v>
      </c>
      <c r="F4" s="8">
        <v>2.5E-4</v>
      </c>
      <c r="T4" s="1">
        <v>36.0</v>
      </c>
      <c r="U4" s="8">
        <v>2.34E-4</v>
      </c>
    </row>
    <row r="5">
      <c r="E5" s="1">
        <v>46.0</v>
      </c>
      <c r="F5" s="8">
        <v>3.7E-4</v>
      </c>
      <c r="T5" s="1">
        <v>41.0</v>
      </c>
      <c r="U5" s="8">
        <v>3.18E-4</v>
      </c>
    </row>
    <row r="6">
      <c r="E6" s="1">
        <v>51.0</v>
      </c>
      <c r="F6" s="8">
        <v>6.8E-4</v>
      </c>
      <c r="T6" s="1">
        <v>46.0</v>
      </c>
      <c r="U6" s="8">
        <v>4.48E-4</v>
      </c>
    </row>
    <row r="7">
      <c r="A7" s="1">
        <v>1.0</v>
      </c>
      <c r="E7" s="1">
        <v>56.0</v>
      </c>
      <c r="F7" s="8">
        <v>6.98E-4</v>
      </c>
      <c r="T7" s="1">
        <v>51.0</v>
      </c>
      <c r="U7" s="8">
        <v>7.51E-4</v>
      </c>
    </row>
    <row r="8">
      <c r="A8" s="1">
        <v>2.0</v>
      </c>
      <c r="E8" s="1">
        <v>61.0</v>
      </c>
      <c r="F8" s="8">
        <v>0.001365</v>
      </c>
      <c r="I8" s="1" t="s">
        <v>20</v>
      </c>
      <c r="J8" s="1" t="s">
        <v>21</v>
      </c>
      <c r="T8" s="1">
        <v>56.0</v>
      </c>
      <c r="U8" s="8">
        <v>0.001561</v>
      </c>
    </row>
    <row r="9">
      <c r="A9" s="1">
        <v>3.0</v>
      </c>
      <c r="E9" s="1">
        <v>66.0</v>
      </c>
      <c r="F9" s="8">
        <v>0.002129</v>
      </c>
      <c r="I9" s="1" t="s">
        <v>22</v>
      </c>
      <c r="J9" s="1" t="s">
        <v>23</v>
      </c>
      <c r="T9" s="1">
        <v>61.0</v>
      </c>
      <c r="U9" s="8">
        <v>0.002781</v>
      </c>
    </row>
    <row r="10">
      <c r="A10" s="1">
        <v>4.0</v>
      </c>
      <c r="E10" s="1">
        <v>71.0</v>
      </c>
      <c r="F10" s="8">
        <v>0.003765</v>
      </c>
      <c r="T10" s="1">
        <v>66.0</v>
      </c>
      <c r="U10" s="8">
        <v>0.003549</v>
      </c>
    </row>
    <row r="11">
      <c r="A11" s="1">
        <v>5.0</v>
      </c>
      <c r="E11" s="1">
        <v>76.0</v>
      </c>
      <c r="F11" s="8">
        <v>0.004707</v>
      </c>
      <c r="J11" s="1" t="s">
        <v>24</v>
      </c>
      <c r="T11" s="1">
        <v>71.0</v>
      </c>
      <c r="U11" s="8">
        <v>0.004707</v>
      </c>
    </row>
    <row r="12">
      <c r="T12" s="1">
        <v>76.0</v>
      </c>
      <c r="U12" s="8">
        <v>0.004707</v>
      </c>
    </row>
    <row r="13">
      <c r="J13" s="1" t="s">
        <v>25</v>
      </c>
    </row>
    <row r="16">
      <c r="E16" s="1">
        <v>41.0</v>
      </c>
      <c r="F16" s="18">
        <f>VLOOKUP(E16,$E$1:$F$11,2,1)</f>
        <v>0.00025</v>
      </c>
    </row>
    <row r="18">
      <c r="I18" s="1" t="s">
        <v>31</v>
      </c>
      <c r="J18" s="1" t="s">
        <v>32</v>
      </c>
    </row>
    <row r="19">
      <c r="J19" s="1" t="s">
        <v>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8.13"/>
    <col customWidth="1" min="3" max="3" width="25.63"/>
    <col customWidth="1" min="4" max="4" width="21.5"/>
    <col customWidth="1" min="5" max="5" width="11.75"/>
    <col customWidth="1" min="6" max="6" width="11.13"/>
    <col customWidth="1" min="7" max="7" width="13.25"/>
    <col customWidth="1" min="8" max="26" width="7.63"/>
  </cols>
  <sheetData>
    <row r="1">
      <c r="A1" s="1" t="s">
        <v>0</v>
      </c>
    </row>
    <row r="3">
      <c r="A3" s="3" t="s">
        <v>2</v>
      </c>
      <c r="B3" s="5" t="s">
        <v>3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>
      <c r="A4" s="7" t="s">
        <v>10</v>
      </c>
      <c r="B4" s="10">
        <v>28.0</v>
      </c>
      <c r="C4" s="1" t="s">
        <v>15</v>
      </c>
      <c r="D4" s="10" t="s">
        <v>16</v>
      </c>
      <c r="E4" s="12"/>
      <c r="F4" s="14">
        <v>190000.0</v>
      </c>
      <c r="G4" s="12"/>
    </row>
    <row r="5">
      <c r="A5" s="7" t="s">
        <v>26</v>
      </c>
      <c r="B5" s="10">
        <v>122.0</v>
      </c>
      <c r="C5" s="1" t="s">
        <v>27</v>
      </c>
      <c r="D5" s="10" t="s">
        <v>28</v>
      </c>
      <c r="E5" s="12"/>
      <c r="F5" s="12">
        <v>195000.0</v>
      </c>
      <c r="G5" s="12"/>
    </row>
    <row r="6">
      <c r="A6" s="7" t="s">
        <v>29</v>
      </c>
      <c r="B6" s="10">
        <v>21.0</v>
      </c>
      <c r="C6" s="1" t="s">
        <v>30</v>
      </c>
      <c r="D6" s="10" t="s">
        <v>16</v>
      </c>
      <c r="E6" s="12"/>
      <c r="F6" s="14">
        <v>200000.0</v>
      </c>
      <c r="G6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