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DOR" sheetId="1" r:id="rId4"/>
    <sheet state="hidden" name="Parametros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8">
      <text>
        <t xml:space="preserve">Caso o cliente possua renda inferior a 7.000, mas já possua imovel ele será enqudrado no SBPE</t>
      </text>
    </comment>
  </commentList>
</comments>
</file>

<file path=xl/sharedStrings.xml><?xml version="1.0" encoding="utf-8"?>
<sst xmlns="http://schemas.openxmlformats.org/spreadsheetml/2006/main" count="68" uniqueCount="63">
  <si>
    <t>*Os resultados obtidos representam apenas uma simulação e não valem como proposta</t>
  </si>
  <si>
    <t>Curva teorica de obra (PRICE) sem TR</t>
  </si>
  <si>
    <t>Lançamento</t>
  </si>
  <si>
    <t>* Valores sujeitos à alteração</t>
  </si>
  <si>
    <t>conforme mudanças no cronograma</t>
  </si>
  <si>
    <t>CCA A SER EVIADA A PASTA:</t>
  </si>
  <si>
    <t xml:space="preserve">email : </t>
  </si>
  <si>
    <t>Versão 2020 v.001</t>
  </si>
  <si>
    <t>copiando:</t>
  </si>
  <si>
    <t>creditovibra@vibraresidencial.com.br</t>
  </si>
  <si>
    <t>Taxa Juros Cheia</t>
  </si>
  <si>
    <t>Nome Cliente:</t>
  </si>
  <si>
    <t>Joselitta</t>
  </si>
  <si>
    <t>Taxa de Juros</t>
  </si>
  <si>
    <t>Renda Familiar:</t>
  </si>
  <si>
    <t>Prazo</t>
  </si>
  <si>
    <t>Prestação</t>
  </si>
  <si>
    <t>Data Nascimento:</t>
  </si>
  <si>
    <t>Valor Máx. PRICE</t>
  </si>
  <si>
    <t>Idade considerada</t>
  </si>
  <si>
    <t>Valor Máx. SAC</t>
  </si>
  <si>
    <t>Prestação Price</t>
  </si>
  <si>
    <t>Quantidade de Proponentes:</t>
  </si>
  <si>
    <t>Valor de subsídio</t>
  </si>
  <si>
    <t>SAC</t>
  </si>
  <si>
    <t>Possui Dependente:</t>
  </si>
  <si>
    <t>Não</t>
  </si>
  <si>
    <t>Possui 3 anos de FGTS:</t>
  </si>
  <si>
    <t>Sim</t>
  </si>
  <si>
    <t>Opção do cliente:</t>
  </si>
  <si>
    <t>Valor de FGTS:</t>
  </si>
  <si>
    <t>Compra e Venda</t>
  </si>
  <si>
    <t>Comissão:</t>
  </si>
  <si>
    <t>Max.  (-)</t>
  </si>
  <si>
    <t>Cliente possui Imovel</t>
  </si>
  <si>
    <t>Subsídio (-)</t>
  </si>
  <si>
    <t>Tipo da Unidade</t>
  </si>
  <si>
    <t>2 dorms</t>
  </si>
  <si>
    <t>FGTS (-)</t>
  </si>
  <si>
    <t>Valor Compra Venda</t>
  </si>
  <si>
    <t>Valor Avaliação CEF</t>
  </si>
  <si>
    <t>Diferença $$$</t>
  </si>
  <si>
    <t>Valor Fração Terreno</t>
  </si>
  <si>
    <t>* Somente os campos em branco podem ser editados</t>
  </si>
  <si>
    <t>Total Contrato</t>
  </si>
  <si>
    <t>Fluxo Vibra</t>
  </si>
  <si>
    <t>Fluxo corretagem</t>
  </si>
  <si>
    <t>Entrada</t>
  </si>
  <si>
    <t>Pro-Soluto**</t>
  </si>
  <si>
    <t>% Pro-soluto</t>
  </si>
  <si>
    <t>Parametros</t>
  </si>
  <si>
    <t>MCMV</t>
  </si>
  <si>
    <t>DIF</t>
  </si>
  <si>
    <t>DFI SBPE</t>
  </si>
  <si>
    <t>TAXA CONTRATO</t>
  </si>
  <si>
    <t>FINANCIAMENTO =  ( PARCELA - UNIDADE *DFI ) / (1/PRAZO + JUROS + MIP)</t>
  </si>
  <si>
    <t>PRICE</t>
  </si>
  <si>
    <t>PARCELA = PGTO(TAXA;PRAZO;VF) + VF*DFI + UNIDADE*MIP</t>
  </si>
  <si>
    <t>PMT = PV * [(1+JUROS)^N * JUROS)] / (1+JUROS)^N -1</t>
  </si>
  <si>
    <t>PV = PMT / [(1+JUROS)^N * JUROS)] / (1+JUROS)^N -1</t>
  </si>
  <si>
    <t>Pgto Comissão</t>
  </si>
  <si>
    <t>Retira da entrada</t>
  </si>
  <si>
    <t>50% do fluxo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</si>
</sst>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* #,##0.00_-;\-* #,##0.00_-;_-* &quot;-&quot;??_-;_-@"/>
    <numFmt numFmtId="165" formatCode="&quot;R$&quot;#,##0.00;[Red]\-&quot;R$&quot;#,##0.00"/>
    <numFmt numFmtId="166" formatCode="_-&quot;R$&quot;* #,##0.00_-;\-&quot;R$&quot;* #,##0.00_-;_-&quot;R$&quot;* &quot;-&quot;??_-;_-@"/>
    <numFmt numFmtId="167" formatCode="0.0%"/>
    <numFmt numFmtId="168" formatCode="0.0000%"/>
    <numFmt numFmtId="169" formatCode="0.000000000%"/>
  </numFmts>
  <fonts count="17">
    <font>
      <sz val="11.0"/>
      <color rgb="FF000000"/>
      <name val="Calibri"/>
    </font>
    <font>
      <sz val="11.0"/>
      <color rgb="FFFFFFFF"/>
      <name val="Calibri"/>
    </font>
    <font>
      <sz val="11.0"/>
      <color rgb="FF7F7F7F"/>
      <name val="Calibri"/>
    </font>
    <font>
      <sz val="11.0"/>
      <color rgb="FFFFE598"/>
      <name val="Calibri"/>
    </font>
    <font>
      <sz val="17.0"/>
      <color rgb="FFFFFFFF"/>
      <name val="Calibri"/>
    </font>
    <font/>
    <font>
      <sz val="18.0"/>
      <color rgb="FFFFFFFF"/>
      <name val="Calibri"/>
    </font>
    <font>
      <sz val="11.0"/>
      <color theme="1"/>
      <name val="Calibri"/>
    </font>
    <font>
      <sz val="14.0"/>
      <color rgb="FFFFFFFF"/>
      <name val="Calibri"/>
    </font>
    <font>
      <sz val="13.0"/>
      <color rgb="FFFFFFFF"/>
      <name val="Calibri"/>
    </font>
    <font>
      <b/>
      <sz val="14.0"/>
      <color rgb="FF000000"/>
      <name val="Calibri"/>
    </font>
    <font>
      <u/>
      <sz val="13.0"/>
      <color rgb="FFFFFFFF"/>
      <name val="Calibri"/>
    </font>
    <font>
      <sz val="11.0"/>
      <color rgb="FFFEF2CB"/>
      <name val="Calibri"/>
    </font>
    <font>
      <sz val="11.0"/>
      <color rgb="FFFF0000"/>
      <name val="Calibri"/>
    </font>
    <font>
      <b/>
      <sz val="11.0"/>
      <color rgb="FF7F7F7F"/>
      <name val="Calibri"/>
    </font>
    <font>
      <b/>
      <sz val="11.0"/>
      <color theme="1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55B6C3"/>
        <bgColor rgb="FF55B6C3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1">
    <border/>
    <border>
      <left style="hair">
        <color rgb="FFFF6600"/>
      </left>
      <right style="hair">
        <color rgb="FFFF6600"/>
      </right>
      <top style="hair">
        <color rgb="FFFF6600"/>
      </top>
      <bottom style="hair">
        <color rgb="FFFF6600"/>
      </bottom>
    </border>
    <border>
      <left/>
      <top/>
    </border>
    <border>
      <top/>
    </border>
    <border>
      <left/>
      <right/>
      <top/>
    </border>
    <border>
      <left/>
    </border>
    <border>
      <left/>
      <right/>
    </border>
    <border>
      <left/>
      <right/>
      <top/>
      <bottom/>
    </border>
    <border>
      <left/>
      <top/>
      <bottom/>
    </border>
    <border>
      <top/>
      <bottom/>
    </border>
    <border>
      <top style="hair">
        <color rgb="FFFF6600"/>
      </top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2" numFmtId="0" xfId="0" applyAlignment="1" applyFont="1">
      <alignment horizontal="left" shrinkToFit="0" vertical="top" wrapText="1"/>
    </xf>
    <xf borderId="0" fillId="0" fontId="1" numFmtId="164" xfId="0" applyFont="1" applyNumberFormat="1"/>
    <xf borderId="1" fillId="0" fontId="2" numFmtId="0" xfId="0" applyBorder="1" applyFont="1"/>
    <xf borderId="0" fillId="0" fontId="0" numFmtId="10" xfId="0" applyFont="1" applyNumberFormat="1"/>
    <xf borderId="0" fillId="0" fontId="0" numFmtId="165" xfId="0" applyFont="1" applyNumberFormat="1"/>
    <xf borderId="0" fillId="0" fontId="2" numFmtId="0" xfId="0" applyFont="1"/>
    <xf borderId="0" fillId="0" fontId="2" numFmtId="0" xfId="0" applyAlignment="1" applyFont="1">
      <alignment shrinkToFit="0" vertical="top" wrapText="1"/>
    </xf>
    <xf borderId="1" fillId="2" fontId="3" numFmtId="166" xfId="0" applyBorder="1" applyFill="1" applyFont="1" applyNumberFormat="1"/>
    <xf borderId="1" fillId="2" fontId="2" numFmtId="0" xfId="0" applyBorder="1" applyFont="1"/>
    <xf borderId="1" fillId="2" fontId="2" numFmtId="167" xfId="0" applyBorder="1" applyFont="1" applyNumberFormat="1"/>
    <xf borderId="1" fillId="2" fontId="2" numFmtId="164" xfId="0" applyBorder="1" applyFont="1" applyNumberFormat="1"/>
    <xf borderId="2" fillId="3" fontId="4" numFmtId="0" xfId="0" applyAlignment="1" applyBorder="1" applyFill="1" applyFont="1">
      <alignment horizontal="center" shrinkToFit="0" vertical="center" wrapText="1"/>
    </xf>
    <xf borderId="3" fillId="0" fontId="5" numFmtId="0" xfId="0" applyBorder="1" applyFont="1"/>
    <xf borderId="4" fillId="3" fontId="6" numFmtId="0" xfId="0" applyAlignment="1" applyBorder="1" applyFont="1">
      <alignment horizontal="center" shrinkToFit="0" vertical="center" wrapText="1"/>
    </xf>
    <xf borderId="0" fillId="0" fontId="7" numFmtId="10" xfId="0" applyFont="1" applyNumberFormat="1"/>
    <xf borderId="5" fillId="0" fontId="5" numFmtId="0" xfId="0" applyBorder="1" applyFont="1"/>
    <xf borderId="6" fillId="0" fontId="5" numFmtId="0" xfId="0" applyBorder="1" applyFont="1"/>
    <xf borderId="0" fillId="0" fontId="7" numFmtId="0" xfId="0" applyFont="1"/>
    <xf borderId="7" fillId="3" fontId="8" numFmtId="0" xfId="0" applyAlignment="1" applyBorder="1" applyFont="1">
      <alignment horizontal="center" shrinkToFit="0" vertical="center" wrapText="1"/>
    </xf>
    <xf borderId="8" fillId="3" fontId="9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0" fillId="0" fontId="10" numFmtId="0" xfId="0" applyFont="1"/>
    <xf borderId="8" fillId="3" fontId="11" numFmtId="0" xfId="0" applyAlignment="1" applyBorder="1" applyFont="1">
      <alignment horizontal="center" shrinkToFit="0" vertical="center" wrapText="1"/>
    </xf>
    <xf borderId="0" fillId="0" fontId="7" numFmtId="166" xfId="0" applyFont="1" applyNumberFormat="1"/>
    <xf borderId="1" fillId="0" fontId="2" numFmtId="0" xfId="0" applyAlignment="1" applyBorder="1" applyFont="1">
      <alignment horizontal="right"/>
    </xf>
    <xf borderId="1" fillId="4" fontId="2" numFmtId="10" xfId="0" applyAlignment="1" applyBorder="1" applyFill="1" applyFont="1" applyNumberFormat="1">
      <alignment horizontal="center"/>
    </xf>
    <xf borderId="1" fillId="4" fontId="12" numFmtId="166" xfId="0" applyBorder="1" applyFont="1" applyNumberFormat="1"/>
    <xf borderId="1" fillId="4" fontId="2" numFmtId="0" xfId="0" applyBorder="1" applyFont="1"/>
    <xf borderId="1" fillId="4" fontId="2" numFmtId="167" xfId="0" applyBorder="1" applyFont="1" applyNumberFormat="1"/>
    <xf borderId="1" fillId="4" fontId="2" numFmtId="164" xfId="0" applyBorder="1" applyFont="1" applyNumberFormat="1"/>
    <xf borderId="1" fillId="0" fontId="2" numFmtId="166" xfId="0" applyAlignment="1" applyBorder="1" applyFont="1" applyNumberFormat="1">
      <alignment vertical="center"/>
    </xf>
    <xf borderId="1" fillId="4" fontId="2" numFmtId="0" xfId="0" applyAlignment="1" applyBorder="1" applyFont="1">
      <alignment horizontal="center"/>
    </xf>
    <xf borderId="0" fillId="0" fontId="0" numFmtId="166" xfId="0" applyFont="1" applyNumberFormat="1"/>
    <xf borderId="1" fillId="0" fontId="2" numFmtId="14" xfId="0" applyAlignment="1" applyBorder="1" applyFont="1" applyNumberFormat="1">
      <alignment vertical="center"/>
    </xf>
    <xf borderId="1" fillId="4" fontId="2" numFmtId="166" xfId="0" applyAlignment="1" applyBorder="1" applyFont="1" applyNumberFormat="1">
      <alignment vertical="center"/>
    </xf>
    <xf borderId="0" fillId="0" fontId="13" numFmtId="166" xfId="0" applyFont="1" applyNumberFormat="1"/>
    <xf borderId="1" fillId="0" fontId="14" numFmtId="0" xfId="0" applyBorder="1" applyFont="1"/>
    <xf borderId="1" fillId="0" fontId="2" numFmtId="0" xfId="0" applyAlignment="1" applyBorder="1" applyFont="1">
      <alignment horizontal="center"/>
    </xf>
    <xf borderId="0" fillId="0" fontId="1" numFmtId="166" xfId="0" applyFont="1" applyNumberFormat="1"/>
    <xf borderId="0" fillId="0" fontId="13" numFmtId="0" xfId="0" applyFont="1"/>
    <xf borderId="1" fillId="0" fontId="2" numFmtId="10" xfId="0" applyAlignment="1" applyBorder="1" applyFont="1" applyNumberFormat="1">
      <alignment horizontal="center"/>
    </xf>
    <xf borderId="0" fillId="0" fontId="1" numFmtId="9" xfId="0" applyFont="1" applyNumberFormat="1"/>
    <xf borderId="1" fillId="0" fontId="2" numFmtId="0" xfId="0" applyAlignment="1" applyBorder="1" applyFont="1">
      <alignment horizontal="center" readingOrder="0"/>
    </xf>
    <xf borderId="10" fillId="0" fontId="1" numFmtId="166" xfId="0" applyAlignment="1" applyBorder="1" applyFont="1" applyNumberFormat="1">
      <alignment vertical="center"/>
    </xf>
    <xf borderId="7" fillId="5" fontId="2" numFmtId="0" xfId="0" applyBorder="1" applyFill="1" applyFont="1"/>
    <xf borderId="7" fillId="5" fontId="0" numFmtId="164" xfId="0" applyBorder="1" applyFont="1" applyNumberFormat="1"/>
    <xf borderId="7" fillId="5" fontId="1" numFmtId="0" xfId="0" applyBorder="1" applyFont="1"/>
    <xf borderId="1" fillId="4" fontId="2" numFmtId="10" xfId="0" applyAlignment="1" applyBorder="1" applyFont="1" applyNumberFormat="1">
      <alignment vertical="center"/>
    </xf>
    <xf borderId="7" fillId="5" fontId="13" numFmtId="166" xfId="0" applyBorder="1" applyFont="1" applyNumberFormat="1"/>
    <xf borderId="7" fillId="5" fontId="2" numFmtId="0" xfId="0" applyAlignment="1" applyBorder="1" applyFont="1">
      <alignment horizontal="left"/>
    </xf>
    <xf borderId="7" fillId="5" fontId="2" numFmtId="166" xfId="0" applyBorder="1" applyFont="1" applyNumberFormat="1"/>
    <xf borderId="7" fillId="5" fontId="2" numFmtId="10" xfId="0" applyAlignment="1" applyBorder="1" applyFont="1" applyNumberFormat="1">
      <alignment horizontal="center"/>
    </xf>
    <xf borderId="7" fillId="5" fontId="0" numFmtId="0" xfId="0" applyBorder="1" applyFont="1"/>
    <xf borderId="0" fillId="0" fontId="15" numFmtId="9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left"/>
    </xf>
    <xf borderId="0" fillId="0" fontId="0" numFmtId="164" xfId="0" applyFont="1" applyNumberFormat="1"/>
    <xf borderId="0" fillId="0" fontId="16" numFmtId="0" xfId="0" applyFont="1"/>
    <xf borderId="0" fillId="0" fontId="0" numFmtId="168" xfId="0" applyFont="1" applyNumberFormat="1"/>
    <xf borderId="0" fillId="0" fontId="0" numFmtId="169" xfId="0" applyFont="1" applyNumberFormat="1"/>
    <xf borderId="0" fillId="0" fontId="16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629025" cy="1343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creditovibra@vibraresidencial.com.br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6.29"/>
    <col customWidth="1" min="2" max="2" width="31.86"/>
    <col customWidth="1" min="3" max="3" width="3.57"/>
    <col customWidth="1" min="4" max="4" width="16.86"/>
    <col customWidth="1" min="5" max="5" width="23.71"/>
    <col customWidth="1" min="6" max="6" width="21.14"/>
    <col customWidth="1" min="7" max="7" width="18.71"/>
    <col customWidth="1" min="8" max="10" width="14.29"/>
    <col customWidth="1" min="11" max="11" width="15.71"/>
    <col customWidth="1" min="12" max="14" width="15.86"/>
    <col customWidth="1" min="15" max="16" width="12.0"/>
    <col customWidth="1" min="17" max="17" width="12.14"/>
  </cols>
  <sheetData>
    <row r="1" ht="15.0" customHeight="1">
      <c r="A1" s="1"/>
      <c r="B1" s="2"/>
      <c r="C1" s="1"/>
      <c r="D1" s="3" t="s">
        <v>0</v>
      </c>
      <c r="G1" s="4">
        <f>B17*B20</f>
        <v>10800</v>
      </c>
      <c r="H1" s="5" t="s">
        <v>1</v>
      </c>
      <c r="I1" s="5"/>
      <c r="J1" s="5"/>
      <c r="K1" s="5"/>
      <c r="L1" s="2"/>
      <c r="M1" s="1"/>
      <c r="N1" s="1"/>
      <c r="O1" s="1"/>
      <c r="P1" s="6"/>
      <c r="Q1" s="1"/>
    </row>
    <row r="2" ht="15.0" customHeight="1">
      <c r="A2" s="7"/>
      <c r="B2" s="4">
        <f>PV(E8/12,$E$10,($B$10*0.3-$B$21*IF(AND(B10&lt;=7000,B18="NÃO"),Parametros!$J$1,Parametros!$R$1)-IF(OR($B$10&gt;4000,B18="SIM"),Parametros!$J$2,0))+PV(E8/12,$E$10,($B$10*0.3-$B$21*IF(AND(B10&lt;=7000,B18="NÃO"),Parametros!$J$1,Parametros!$R$1)),0,0)*IF(AND(B10&lt;=7000,B18="NÃO"),VLOOKUP($B$12,Parametros!$E$1:$F$11,2,1),VLOOKUP($B$12,Parametros!$T$1:$U$11,2,1)),0,0)*-1</f>
        <v>265651.4845</v>
      </c>
      <c r="C2" s="1"/>
      <c r="G2" s="4">
        <f t="shared" ref="G2:G5" si="1">G1-G25</f>
        <v>8400</v>
      </c>
      <c r="H2" s="5" t="s">
        <v>2</v>
      </c>
      <c r="I2" s="5"/>
      <c r="J2" s="5"/>
      <c r="K2" s="5"/>
      <c r="L2" s="8" t="s">
        <v>3</v>
      </c>
      <c r="M2" s="1"/>
      <c r="N2" s="1"/>
      <c r="O2" s="1"/>
      <c r="P2" s="6"/>
      <c r="Q2" s="1"/>
    </row>
    <row r="3" ht="14.25" customHeight="1">
      <c r="A3" s="1"/>
      <c r="B3" s="4"/>
      <c r="C3" s="1"/>
      <c r="D3" s="9"/>
      <c r="E3" s="9"/>
      <c r="F3" s="9"/>
      <c r="G3" s="4">
        <f t="shared" si="1"/>
        <v>8400</v>
      </c>
      <c r="H3" s="10">
        <f t="shared" ref="H3:H29" si="2">$F$19+$G$19*J3</f>
        <v>3468.013468</v>
      </c>
      <c r="I3" s="11">
        <v>1.0</v>
      </c>
      <c r="J3" s="12">
        <v>0.0</v>
      </c>
      <c r="K3" s="13">
        <f>H3*$E$9/12+$B$21*IF($B$10&lt;=7000,Parametros!$J$1,Parametros!$R$1)+SIMULADOR!$E$17*IF($B$10&lt;=7000,VLOOKUP($B$12,Parametros!$E$1:$F$11,2,1),VLOOKUP($B$12,Parametros!$T$1:$U$11,2,1))+IF($B$10&gt;4000,Parametros!$J$2,0)</f>
        <v>111.1818539</v>
      </c>
      <c r="L3" s="8" t="s">
        <v>4</v>
      </c>
      <c r="M3" s="1"/>
      <c r="N3" s="1"/>
      <c r="O3" s="1"/>
      <c r="P3" s="6"/>
      <c r="Q3" s="1"/>
    </row>
    <row r="4" ht="15.0" customHeight="1">
      <c r="A4" s="1"/>
      <c r="B4" s="4">
        <f>($B$10*0.3-$B$21*IF(AND(B10&lt;=7000,B18="NÃO"),Parametros!$J$1,Parametros!$R$1)-IF(OR($B$10&gt;4000,B18="SIM"),Parametros!$J$2,0))/((1/$E$10)+(E8/12)+IF(AND(B10&lt;=7000,B18="NÃO"),VLOOKUP($B$12,Parametros!$E$1:$F$11,2,1),VLOOKUP($B$12,Parametros!$T$1:$U$11,2,1)))</f>
        <v>210822.4019</v>
      </c>
      <c r="C4" s="1"/>
      <c r="D4" s="14" t="s">
        <v>5</v>
      </c>
      <c r="E4" s="15"/>
      <c r="F4" s="16" t="str">
        <f>IF(MOD(YEAR(B11),2)=0,"2 S","OBC")</f>
        <v>2 S</v>
      </c>
      <c r="G4" s="4">
        <f t="shared" si="1"/>
        <v>8400</v>
      </c>
      <c r="H4" s="10">
        <f t="shared" si="2"/>
        <v>3651.745455</v>
      </c>
      <c r="I4" s="11">
        <v>2.0</v>
      </c>
      <c r="J4" s="12">
        <v>0.001</v>
      </c>
      <c r="K4" s="13">
        <f>H4*$E$9/12+$B$21*IF($B$10&lt;=7000,Parametros!$J$1,Parametros!$R$1)+SIMULADOR!$E$17*IF($B$10&lt;=7000,VLOOKUP($B$12,Parametros!$E$1:$F$11,2,1),VLOOKUP($B$12,Parametros!$T$1:$U$11,2,1))+IF($B$10&gt;4000,Parametros!$J$2,0)</f>
        <v>112.4351816</v>
      </c>
      <c r="L4" s="17"/>
      <c r="M4" s="1"/>
      <c r="N4" s="1"/>
      <c r="O4" s="1"/>
      <c r="P4" s="6"/>
      <c r="Q4" s="1"/>
    </row>
    <row r="5" ht="21.0" customHeight="1">
      <c r="A5" s="1"/>
      <c r="B5" s="2"/>
      <c r="C5" s="1"/>
      <c r="D5" s="18"/>
      <c r="F5" s="19"/>
      <c r="G5" s="4">
        <f t="shared" si="1"/>
        <v>8400</v>
      </c>
      <c r="H5" s="10">
        <f t="shared" si="2"/>
        <v>3835.477441</v>
      </c>
      <c r="I5" s="11">
        <v>3.0</v>
      </c>
      <c r="J5" s="12">
        <v>0.002</v>
      </c>
      <c r="K5" s="13">
        <f>H5*$E$9/12+$B$21*IF($B$10&lt;=7000,Parametros!$J$1,Parametros!$R$1)+SIMULADOR!$E$17*IF($B$10&lt;=7000,VLOOKUP($B$12,Parametros!$E$1:$F$11,2,1),VLOOKUP($B$12,Parametros!$T$1:$U$11,2,1))+IF($B$10&gt;4000,Parametros!$J$2,0)</f>
        <v>113.6885094</v>
      </c>
      <c r="L5" s="17"/>
      <c r="M5" s="20"/>
      <c r="N5" s="20"/>
      <c r="O5" s="1"/>
      <c r="P5" s="6"/>
      <c r="Q5" s="1"/>
    </row>
    <row r="6" ht="24.75" customHeight="1">
      <c r="A6" s="1"/>
      <c r="B6" s="2"/>
      <c r="C6" s="1"/>
      <c r="D6" s="21" t="s">
        <v>6</v>
      </c>
      <c r="E6" s="22" t="str">
        <f>IF(F4="OBC","pre-analise@obcnegocios.com.br","analise@2sni.com.br")</f>
        <v>analise@2sni.com.br</v>
      </c>
      <c r="F6" s="23"/>
      <c r="G6" s="4"/>
      <c r="H6" s="10">
        <f t="shared" si="2"/>
        <v>6040.261279</v>
      </c>
      <c r="I6" s="11">
        <v>4.0</v>
      </c>
      <c r="J6" s="12">
        <v>0.014</v>
      </c>
      <c r="K6" s="13">
        <f>H6*$E$9/12+$B$21*IF($B$10&lt;=7000,Parametros!$J$1,Parametros!$R$1)+SIMULADOR!$E$17*IF($B$10&lt;=7000,VLOOKUP($B$12,Parametros!$E$1:$F$11,2,1),VLOOKUP($B$12,Parametros!$T$1:$U$11,2,1))+IF($B$10&gt;4000,Parametros!$J$2,0)</f>
        <v>128.7284423</v>
      </c>
      <c r="L6" s="17"/>
      <c r="M6" s="20"/>
      <c r="N6" s="20"/>
      <c r="O6" s="1"/>
      <c r="P6" s="6"/>
      <c r="Q6" s="1"/>
    </row>
    <row r="7" ht="26.25" customHeight="1">
      <c r="A7" s="24" t="s">
        <v>7</v>
      </c>
      <c r="B7" s="2"/>
      <c r="C7" s="1"/>
      <c r="D7" s="21" t="s">
        <v>8</v>
      </c>
      <c r="E7" s="25" t="s">
        <v>9</v>
      </c>
      <c r="F7" s="23"/>
      <c r="G7" s="4"/>
      <c r="H7" s="10">
        <f t="shared" si="2"/>
        <v>6591.457239</v>
      </c>
      <c r="I7" s="11">
        <v>5.0</v>
      </c>
      <c r="J7" s="12">
        <v>0.017</v>
      </c>
      <c r="K7" s="13">
        <f>H7*$E$9/12+$B$21*IF($B$10&lt;=7000,Parametros!$J$1,Parametros!$R$1)+SIMULADOR!$E$17*IF($B$10&lt;=7000,VLOOKUP($B$12,Parametros!$E$1:$F$11,2,1),VLOOKUP($B$12,Parametros!$T$1:$U$11,2,1))+IF($B$10&gt;4000,Parametros!$J$2,0)</f>
        <v>132.4884256</v>
      </c>
      <c r="L7" s="17"/>
      <c r="M7" s="20"/>
      <c r="N7" s="20"/>
      <c r="O7" s="1"/>
      <c r="P7" s="6"/>
      <c r="Q7" s="1"/>
    </row>
    <row r="8" ht="14.25" customHeight="1">
      <c r="A8" s="1"/>
      <c r="B8" s="1"/>
      <c r="C8" s="1"/>
      <c r="D8" s="2" t="s">
        <v>10</v>
      </c>
      <c r="E8" s="2">
        <f>IF(AND(B10&lt;=2600,B18="NÃO"),0.055,IF(AND(B10&lt;=3000,B18="NÃO"),0.06,IF(AND(B10&lt;=4000,B18="NÃO"),0.07,IF(AND(B10&lt;=7000,B18="NÃO"),0.0816,0.097978))))-IF(AND(B10&lt;=7000,B18="NÃO"),IF($B$15="sim",0.005,0),0)</f>
        <v>0.097978</v>
      </c>
      <c r="F8" s="1"/>
      <c r="G8" s="1"/>
      <c r="H8" s="10">
        <f t="shared" si="2"/>
        <v>9531.169024</v>
      </c>
      <c r="I8" s="11">
        <v>6.0</v>
      </c>
      <c r="J8" s="12">
        <v>0.033</v>
      </c>
      <c r="K8" s="13">
        <f>H8*$E$9/12+$B$21*IF($B$10&lt;=7000,Parametros!$J$1,Parametros!$R$1)+SIMULADOR!$E$17*IF($B$10&lt;=7000,VLOOKUP($B$12,Parametros!$E$1:$F$11,2,1),VLOOKUP($B$12,Parametros!$T$1:$U$11,2,1))+IF($B$10&gt;4000,Parametros!$J$2,0)</f>
        <v>152.5416695</v>
      </c>
      <c r="L8" s="20"/>
      <c r="M8" s="26"/>
      <c r="N8" s="20"/>
      <c r="O8" s="1"/>
      <c r="P8" s="6"/>
      <c r="Q8" s="1"/>
    </row>
    <row r="9" ht="14.25" customHeight="1">
      <c r="A9" s="5" t="s">
        <v>11</v>
      </c>
      <c r="B9" s="27" t="s">
        <v>12</v>
      </c>
      <c r="C9" s="1"/>
      <c r="D9" s="5" t="s">
        <v>13</v>
      </c>
      <c r="E9" s="28">
        <f>IF(AND(B10&lt;=2600,B18="NÃO"),0.055,IF(AND(B10&lt;=3000,B18="NÃO"),0.06,IF(AND(B10&lt;=4000,B18="NÃO"),0.07,IF(AND(B10&lt;=7000,B18="NÃO"),0.0816,0.081858))))-IF(AND(B10&lt;=7000,B18="NÃO"),IF($B$15="sim",0.005,0),0)</f>
        <v>0.081858</v>
      </c>
      <c r="F9" s="5" t="str">
        <f>IF(E9&gt;0.084,"SBPE","MCMV")</f>
        <v>MCMV</v>
      </c>
      <c r="G9" s="1"/>
      <c r="H9" s="29">
        <f t="shared" si="2"/>
        <v>14124.46869</v>
      </c>
      <c r="I9" s="30">
        <v>7.0</v>
      </c>
      <c r="J9" s="31">
        <v>0.058</v>
      </c>
      <c r="K9" s="32">
        <f>H9*$E$9/12+$B$21*IF($B$10&lt;=7000,Parametros!$J$1,Parametros!$R$1)+SIMULADOR!$E$17*IF($B$10&lt;=7000,VLOOKUP($B$12,Parametros!$E$1:$F$11,2,1),VLOOKUP($B$12,Parametros!$T$1:$U$11,2,1))+IF($B$10&gt;4000,Parametros!$J$2,0)</f>
        <v>183.8748631</v>
      </c>
      <c r="L9" s="20"/>
      <c r="M9" s="26"/>
      <c r="N9" s="20"/>
      <c r="O9" s="1"/>
      <c r="P9" s="6"/>
      <c r="Q9" s="1"/>
    </row>
    <row r="10" ht="14.25" customHeight="1">
      <c r="A10" s="5" t="s">
        <v>14</v>
      </c>
      <c r="B10" s="33">
        <v>8000.0</v>
      </c>
      <c r="C10" s="1"/>
      <c r="D10" s="5" t="s">
        <v>15</v>
      </c>
      <c r="E10" s="34">
        <f>IF((79-B12)*12&gt;=360,360,(79-B12)*12)</f>
        <v>360</v>
      </c>
      <c r="F10" s="5" t="s">
        <v>16</v>
      </c>
      <c r="G10" s="35"/>
      <c r="H10" s="29">
        <f t="shared" si="2"/>
        <v>19636.42828</v>
      </c>
      <c r="I10" s="30">
        <v>8.0</v>
      </c>
      <c r="J10" s="31">
        <v>0.088</v>
      </c>
      <c r="K10" s="32">
        <f>H10*$E$9/12+$B$21*IF($B$10&lt;=7000,Parametros!$J$1,Parametros!$R$1)+SIMULADOR!$E$17*IF($B$10&lt;=7000,VLOOKUP($B$12,Parametros!$E$1:$F$11,2,1),VLOOKUP($B$12,Parametros!$T$1:$U$11,2,1))+IF($B$10&gt;4000,Parametros!$J$2,0)</f>
        <v>221.4746955</v>
      </c>
      <c r="L10" s="20"/>
      <c r="M10" s="26"/>
      <c r="N10" s="2"/>
      <c r="O10" s="2"/>
      <c r="P10" s="6"/>
      <c r="Q10" s="1"/>
    </row>
    <row r="11" ht="14.25" customHeight="1">
      <c r="A11" s="5" t="s">
        <v>17</v>
      </c>
      <c r="B11" s="36">
        <v>31441.0</v>
      </c>
      <c r="C11" s="1"/>
      <c r="D11" s="5" t="s">
        <v>18</v>
      </c>
      <c r="E11" s="37">
        <f>IF(IF(B2&gt;((MIN($B$20,$B$21)*IF(OR(B10&gt;7000,B18="sim"),0.8,0.8))),(MIN($B$20,$B$21))*IF(OR(B10&gt;7000,B18="sim"),0.8,0.8),B2)+$E$13&gt;MIN($B$20,$B$21),MIN($B$20,$B$21)-$E$13,IF(B2&gt;(MIN($B$20,$B$21)*IF(OR(B10&gt;7000,B18="sim"),0.8,0.8)),(MIN($B$20,$B$21)*IF(OR(B10&gt;7000,B18="sim"),0.8,0.8)),B2))*0.975</f>
        <v>187200</v>
      </c>
      <c r="F11" s="37">
        <f>(PMT($E$9/12,$E$10,$E$11))*-1+$B$21*IF($B$10&lt;=7000,Parametros!$J$1,Parametros!$R$1)+$E$11*IF($B$10&lt;=7000,VLOOKUP($B$12,Parametros!$E$1:$F$11,2,1),VLOOKUP($B$12,Parametros!$T$1:$U$11,2,1))+IF($B$10&gt;4000,Parametros!$J$2,0)</f>
        <v>1485.455901</v>
      </c>
      <c r="G11" s="35"/>
      <c r="H11" s="29">
        <f t="shared" si="2"/>
        <v>26067.04781</v>
      </c>
      <c r="I11" s="30">
        <v>9.0</v>
      </c>
      <c r="J11" s="31">
        <v>0.123</v>
      </c>
      <c r="K11" s="32">
        <f>H11*$E$9/12+$B$21*IF($B$10&lt;=7000,Parametros!$J$1,Parametros!$R$1)+SIMULADOR!$E$17*IF($B$10&lt;=7000,VLOOKUP($B$12,Parametros!$E$1:$F$11,2,1),VLOOKUP($B$12,Parametros!$T$1:$U$11,2,1))+IF($B$10&gt;4000,Parametros!$J$2,0)</f>
        <v>265.3411666</v>
      </c>
      <c r="L11" s="20"/>
      <c r="M11" s="38"/>
      <c r="N11" s="2"/>
      <c r="O11" s="2"/>
      <c r="P11" s="6"/>
      <c r="Q11" s="1"/>
    </row>
    <row r="12" ht="14.25" customHeight="1">
      <c r="A12" s="5" t="s">
        <v>19</v>
      </c>
      <c r="B12" s="30">
        <f>ROUND((TODAY()-B11)/365,0)+3</f>
        <v>38</v>
      </c>
      <c r="C12" s="1"/>
      <c r="D12" s="5" t="s">
        <v>20</v>
      </c>
      <c r="E12" s="37">
        <f>IF(IF(B4&gt;(MIN($B$20,$B$21)*0.8),(MIN($B$20,$B$21))*0.8,B4)+$E$13&gt;MIN($B$20,$B$21),MIN($B$20,$B$21)-$E$13,IF(B4&gt;(MIN($B$20,$B$21)*0.8),(MIN($B$20,$B$21)*0.8),B4))*0.975</f>
        <v>187200</v>
      </c>
      <c r="F12" s="37">
        <f>E12/E10+E12*E9/12+$B$21*IF($B$10&lt;=7000,Parametros!$J$1,Parametros!$R$1)+SIMULADOR!E12*IF($B$10&lt;=7000,VLOOKUP($B$12,Parametros!$E$1:$F$11,2,1),VLOOKUP($B$12,Parametros!$T$1:$U$11,2,1))+IF($B$10&gt;4000,Parametros!$J$2,0)</f>
        <v>1884.5096</v>
      </c>
      <c r="G12" s="35"/>
      <c r="H12" s="29">
        <f t="shared" si="2"/>
        <v>33416.32727</v>
      </c>
      <c r="I12" s="30">
        <v>10.0</v>
      </c>
      <c r="J12" s="31">
        <v>0.163</v>
      </c>
      <c r="K12" s="32">
        <f>H12*$E$9/12+$B$21*IF($B$10&lt;=7000,Parametros!$J$1,Parametros!$R$1)+SIMULADOR!$E$17*IF($B$10&lt;=7000,VLOOKUP($B$12,Parametros!$E$1:$F$11,2,1),VLOOKUP($B$12,Parametros!$T$1:$U$11,2,1))+IF($B$10&gt;4000,Parametros!$J$2,0)</f>
        <v>315.4742765</v>
      </c>
      <c r="L12" s="20"/>
      <c r="M12" s="38"/>
      <c r="N12" s="2" t="s">
        <v>21</v>
      </c>
      <c r="O12" s="2"/>
      <c r="P12" s="6"/>
      <c r="Q12" s="1"/>
    </row>
    <row r="13" ht="14.25" customHeight="1">
      <c r="A13" s="5" t="s">
        <v>22</v>
      </c>
      <c r="B13" s="5">
        <v>2.0</v>
      </c>
      <c r="C13" s="1"/>
      <c r="D13" s="5" t="s">
        <v>23</v>
      </c>
      <c r="E13" s="37">
        <f>ROUNDDOWN(IF(B18="sim",0,IF(B10&lt;=$A$24,$B$24*IF(OR($B$14="sim",B13&gt;=2),1,0.5),IF(AND($B$10&gt;=$A$27,$B$10&lt;=$A$28),$B$27,IF(B10&gt;=$A$28,0,0.0121413386957771*((B10-1800)^2)+-35.8169491525424*(B10-1800)+29000))*IF(OR($B$14="sim",B13&gt;=2),1,0.5))),0)</f>
        <v>0</v>
      </c>
      <c r="F13" s="39"/>
      <c r="G13" s="1"/>
      <c r="H13" s="29">
        <f t="shared" si="2"/>
        <v>41684.26667</v>
      </c>
      <c r="I13" s="30">
        <v>11.0</v>
      </c>
      <c r="J13" s="31">
        <v>0.208</v>
      </c>
      <c r="K13" s="32">
        <f>H13*$E$9/12+$B$21*IF($B$10&lt;=7000,Parametros!$J$1,Parametros!$R$1)+SIMULADOR!$E$17*IF($B$10&lt;=7000,VLOOKUP($B$12,Parametros!$E$1:$F$11,2,1),VLOOKUP($B$12,Parametros!$T$1:$U$11,2,1))+IF($B$10&gt;4000,Parametros!$J$2,0)</f>
        <v>371.8740251</v>
      </c>
      <c r="L13" s="17"/>
      <c r="M13" s="38"/>
      <c r="N13" s="2" t="s">
        <v>24</v>
      </c>
      <c r="O13" s="2"/>
      <c r="P13" s="6"/>
      <c r="Q13" s="1"/>
    </row>
    <row r="14" ht="14.25" customHeight="1">
      <c r="A14" s="5" t="s">
        <v>25</v>
      </c>
      <c r="B14" s="40" t="s">
        <v>26</v>
      </c>
      <c r="C14" s="1"/>
      <c r="D14" s="1"/>
      <c r="E14" s="1"/>
      <c r="F14" s="1"/>
      <c r="G14" s="1"/>
      <c r="H14" s="29">
        <f t="shared" si="2"/>
        <v>50870.86599</v>
      </c>
      <c r="I14" s="30">
        <v>12.0</v>
      </c>
      <c r="J14" s="31">
        <v>0.258</v>
      </c>
      <c r="K14" s="32">
        <f>H14*$E$9/12+$B$21*IF($B$10&lt;=7000,Parametros!$J$1,Parametros!$R$1)+SIMULADOR!$E$17*IF($B$10&lt;=7000,VLOOKUP($B$12,Parametros!$E$1:$F$11,2,1),VLOOKUP($B$12,Parametros!$T$1:$U$11,2,1))+IF($B$10&gt;4000,Parametros!$J$2,0)</f>
        <v>434.5404124</v>
      </c>
      <c r="L14" s="17"/>
      <c r="M14" s="38"/>
      <c r="N14" s="41">
        <f>IF(F15=N12,E11,IF(F15=N13,E12))</f>
        <v>187200</v>
      </c>
      <c r="O14" s="2"/>
      <c r="P14" s="6"/>
      <c r="Q14" s="1"/>
    </row>
    <row r="15" ht="14.25" customHeight="1">
      <c r="A15" s="5" t="s">
        <v>27</v>
      </c>
      <c r="B15" s="40" t="s">
        <v>28</v>
      </c>
      <c r="C15" s="1"/>
      <c r="D15" s="1"/>
      <c r="E15" s="37" t="s">
        <v>29</v>
      </c>
      <c r="F15" s="5" t="s">
        <v>21</v>
      </c>
      <c r="G15" s="1"/>
      <c r="H15" s="29">
        <f t="shared" si="2"/>
        <v>53075.64983</v>
      </c>
      <c r="I15" s="30">
        <v>13.0</v>
      </c>
      <c r="J15" s="31">
        <v>0.27</v>
      </c>
      <c r="K15" s="32">
        <f>H15*$E$9/12+$B$21*IF($B$10&lt;=7000,Parametros!$J$1,Parametros!$R$1)+SIMULADOR!$E$17*IF($B$10&lt;=7000,VLOOKUP($B$12,Parametros!$E$1:$F$11,2,1),VLOOKUP($B$12,Parametros!$T$1:$U$11,2,1))+IF($B$10&gt;4000,Parametros!$J$2,0)</f>
        <v>449.5803453</v>
      </c>
      <c r="L15" s="17"/>
      <c r="M15" s="42"/>
      <c r="N15" s="41">
        <f>IF(F15=N12,F11,IF(F15=N13,F12))</f>
        <v>1485.455901</v>
      </c>
      <c r="O15" s="2"/>
      <c r="P15" s="6"/>
      <c r="Q15" s="1"/>
    </row>
    <row r="16" ht="14.25" customHeight="1">
      <c r="A16" s="5" t="s">
        <v>30</v>
      </c>
      <c r="B16" s="33">
        <v>10000.0</v>
      </c>
      <c r="C16" s="1"/>
      <c r="D16" s="5" t="s">
        <v>31</v>
      </c>
      <c r="E16" s="37">
        <f>B20</f>
        <v>240000</v>
      </c>
      <c r="F16" s="41"/>
      <c r="G16" s="2">
        <f>(B22-E19)*F17</f>
        <v>5151581.072</v>
      </c>
      <c r="H16" s="29">
        <f t="shared" si="2"/>
        <v>62262.24916</v>
      </c>
      <c r="I16" s="30">
        <v>14.0</v>
      </c>
      <c r="J16" s="31">
        <v>0.32</v>
      </c>
      <c r="K16" s="32">
        <f>H16*$E$9/12+$B$21*IF($B$10&lt;=7000,Parametros!$J$1,Parametros!$R$1)+SIMULADOR!$E$17*IF($B$10&lt;=7000,VLOOKUP($B$12,Parametros!$E$1:$F$11,2,1),VLOOKUP($B$12,Parametros!$T$1:$U$11,2,1))+IF($B$10&gt;4000,Parametros!$J$2,0)</f>
        <v>512.2467326</v>
      </c>
      <c r="L16" s="17"/>
      <c r="M16" s="42"/>
      <c r="N16" s="2"/>
      <c r="O16" s="2"/>
      <c r="P16" s="6"/>
      <c r="Q16" s="1"/>
    </row>
    <row r="17" ht="14.25" customHeight="1">
      <c r="A17" s="5" t="s">
        <v>32</v>
      </c>
      <c r="B17" s="43">
        <v>0.045</v>
      </c>
      <c r="C17" s="1"/>
      <c r="D17" s="5" t="s">
        <v>33</v>
      </c>
      <c r="E17" s="37">
        <f>IF(E16-E19-E18-N14-E24&lt;0,E16-E24-E19-E18,N14)</f>
        <v>187200</v>
      </c>
      <c r="F17" s="37">
        <f>N15</f>
        <v>1485.455901</v>
      </c>
      <c r="G17" s="41">
        <f>E17-G16</f>
        <v>-4964381.072</v>
      </c>
      <c r="H17" s="29">
        <f t="shared" si="2"/>
        <v>67774.20875</v>
      </c>
      <c r="I17" s="30">
        <v>15.0</v>
      </c>
      <c r="J17" s="31">
        <v>0.35</v>
      </c>
      <c r="K17" s="32">
        <f>H17*$E$9/12+$B$21*IF($B$10&lt;=7000,Parametros!$J$1,Parametros!$R$1)+SIMULADOR!$E$17*IF($B$10&lt;=7000,VLOOKUP($B$12,Parametros!$E$1:$F$11,2,1),VLOOKUP($B$12,Parametros!$T$1:$U$11,2,1))+IF($B$10&gt;4000,Parametros!$J$2,0)</f>
        <v>549.846565</v>
      </c>
      <c r="L17" s="17"/>
      <c r="M17" s="42"/>
      <c r="N17" s="42"/>
      <c r="O17" s="1"/>
      <c r="P17" s="6"/>
      <c r="Q17" s="1"/>
    </row>
    <row r="18" ht="14.25" customHeight="1">
      <c r="A18" s="5" t="s">
        <v>34</v>
      </c>
      <c r="B18" s="40" t="s">
        <v>26</v>
      </c>
      <c r="C18" s="1"/>
      <c r="D18" s="5" t="s">
        <v>35</v>
      </c>
      <c r="E18" s="37">
        <f>E13</f>
        <v>0</v>
      </c>
      <c r="F18" s="44"/>
      <c r="G18" s="41"/>
      <c r="H18" s="29">
        <f t="shared" si="2"/>
        <v>62262.24916</v>
      </c>
      <c r="I18" s="30">
        <v>16.0</v>
      </c>
      <c r="J18" s="31">
        <v>0.32</v>
      </c>
      <c r="K18" s="32">
        <f>H18*$E$9/12+$B$21*IF($B$10&lt;=7000,Parametros!$J$1,Parametros!$R$1)+SIMULADOR!$E$17*IF($B$10&lt;=7000,VLOOKUP($B$12,Parametros!$E$1:$F$11,2,1),VLOOKUP($B$12,Parametros!$T$1:$U$11,2,1))+IF($B$10&gt;4000,Parametros!$J$2,0)</f>
        <v>512.2467326</v>
      </c>
      <c r="L18" s="17"/>
      <c r="M18" s="42"/>
      <c r="N18" s="42"/>
      <c r="O18" s="1"/>
      <c r="P18" s="6"/>
      <c r="Q18" s="1"/>
    </row>
    <row r="19" ht="13.5" customHeight="1">
      <c r="A19" s="5" t="s">
        <v>36</v>
      </c>
      <c r="B19" s="45" t="s">
        <v>37</v>
      </c>
      <c r="C19" s="1"/>
      <c r="D19" s="5" t="s">
        <v>38</v>
      </c>
      <c r="E19" s="37">
        <f>B16</f>
        <v>10000</v>
      </c>
      <c r="F19" s="4">
        <f>IF(E19&gt;B22,0,B22-E19)</f>
        <v>3468.013468</v>
      </c>
      <c r="G19" s="41">
        <f>E17-F19</f>
        <v>183731.9865</v>
      </c>
      <c r="H19" s="29">
        <f t="shared" si="2"/>
        <v>76960.80808</v>
      </c>
      <c r="I19" s="30">
        <v>17.0</v>
      </c>
      <c r="J19" s="31">
        <v>0.4</v>
      </c>
      <c r="K19" s="32">
        <f>H19*$E$9/12+$B$21*IF($B$10&lt;=7000,Parametros!$J$1,Parametros!$R$1)+SIMULADOR!$E$17*IF($B$10&lt;=7000,VLOOKUP($B$12,Parametros!$E$1:$F$11,2,1),VLOOKUP($B$12,Parametros!$T$1:$U$11,2,1))+IF($B$10&gt;4000,Parametros!$J$2,0)</f>
        <v>612.5129523</v>
      </c>
      <c r="L19" s="17"/>
      <c r="M19" s="20"/>
      <c r="N19" s="20"/>
      <c r="O19" s="1"/>
      <c r="P19" s="6"/>
      <c r="Q19" s="1"/>
    </row>
    <row r="20" ht="13.5" customHeight="1">
      <c r="A20" s="5" t="s">
        <v>39</v>
      </c>
      <c r="B20" s="33">
        <v>240000.0</v>
      </c>
      <c r="C20" s="1"/>
      <c r="D20" s="1"/>
      <c r="E20" s="1"/>
      <c r="F20" s="2"/>
      <c r="G20" s="2"/>
      <c r="H20" s="29">
        <f t="shared" si="2"/>
        <v>92945.49091</v>
      </c>
      <c r="I20" s="30">
        <v>18.0</v>
      </c>
      <c r="J20" s="31">
        <v>0.48700000000000004</v>
      </c>
      <c r="K20" s="32">
        <f>H20*$E$9/12+$B$21*IF($B$10&lt;=7000,Parametros!$J$1,Parametros!$R$1)+SIMULADOR!$E$17*IF($B$10&lt;=7000,VLOOKUP($B$12,Parametros!$E$1:$F$11,2,1),VLOOKUP($B$12,Parametros!$T$1:$U$11,2,1))+IF($B$10&gt;4000,Parametros!$J$2,0)</f>
        <v>721.5524662</v>
      </c>
      <c r="L20" s="17"/>
      <c r="M20" s="20"/>
      <c r="N20" s="20"/>
      <c r="O20" s="1"/>
      <c r="P20" s="6"/>
      <c r="Q20" s="1"/>
    </row>
    <row r="21" ht="13.5" customHeight="1">
      <c r="A21" s="2" t="s">
        <v>40</v>
      </c>
      <c r="B21" s="46">
        <v>240000.0</v>
      </c>
      <c r="C21" s="1"/>
      <c r="D21" s="5" t="s">
        <v>41</v>
      </c>
      <c r="E21" s="37">
        <f>E16-E17-E18-E19</f>
        <v>42800</v>
      </c>
      <c r="F21" s="2"/>
      <c r="G21" s="4">
        <v>1787.3215818922545</v>
      </c>
      <c r="H21" s="29">
        <f t="shared" si="2"/>
        <v>109297.6377</v>
      </c>
      <c r="I21" s="30">
        <v>19.0</v>
      </c>
      <c r="J21" s="31">
        <v>0.5760000000000001</v>
      </c>
      <c r="K21" s="32">
        <f>H21*$E$9/12+$B$21*IF($B$10&lt;=7000,Parametros!$J$1,Parametros!$R$1)+SIMULADOR!$E$17*IF($B$10&lt;=7000,VLOOKUP($B$12,Parametros!$E$1:$F$11,2,1),VLOOKUP($B$12,Parametros!$T$1:$U$11,2,1))+IF($B$10&gt;4000,Parametros!$J$2,0)</f>
        <v>833.0986356</v>
      </c>
      <c r="L21" s="17"/>
      <c r="M21" s="20"/>
      <c r="N21" s="20"/>
      <c r="O21" s="1"/>
      <c r="P21" s="6"/>
      <c r="Q21" s="1"/>
    </row>
    <row r="22" ht="13.5" customHeight="1">
      <c r="A22" s="2" t="s">
        <v>42</v>
      </c>
      <c r="B22" s="46">
        <f>4000000/297</f>
        <v>13468.01347</v>
      </c>
      <c r="C22" s="1"/>
      <c r="D22" s="47"/>
      <c r="E22" s="48"/>
      <c r="F22" s="49"/>
      <c r="G22" s="49"/>
      <c r="H22" s="29">
        <f t="shared" si="2"/>
        <v>125098.5886</v>
      </c>
      <c r="I22" s="30">
        <v>20.0</v>
      </c>
      <c r="J22" s="31">
        <v>0.662</v>
      </c>
      <c r="K22" s="32">
        <f>H22*$E$9/12+$B$21*IF($B$10&lt;=7000,Parametros!$J$1,Parametros!$R$1)+SIMULADOR!$E$17*IF($B$10&lt;=7000,VLOOKUP($B$12,Parametros!$E$1:$F$11,2,1),VLOOKUP($B$12,Parametros!$T$1:$U$11,2,1))+IF($B$10&gt;4000,Parametros!$J$2,0)</f>
        <v>940.8848218</v>
      </c>
      <c r="L22" s="17"/>
      <c r="M22" s="20"/>
      <c r="N22" s="20"/>
      <c r="O22" s="1"/>
      <c r="P22" s="6"/>
      <c r="Q22" s="1"/>
    </row>
    <row r="23" ht="13.5" customHeight="1">
      <c r="A23" s="8" t="s">
        <v>43</v>
      </c>
      <c r="B23" s="35"/>
      <c r="C23" s="1"/>
      <c r="D23" s="1"/>
      <c r="E23" s="5" t="s">
        <v>44</v>
      </c>
      <c r="F23" s="5" t="s">
        <v>45</v>
      </c>
      <c r="G23" s="5" t="s">
        <v>46</v>
      </c>
      <c r="H23" s="29">
        <f t="shared" si="2"/>
        <v>137959.8276</v>
      </c>
      <c r="I23" s="30">
        <v>21.0</v>
      </c>
      <c r="J23" s="31">
        <v>0.732</v>
      </c>
      <c r="K23" s="32">
        <f>H23*$E$9/12+$B$21*IF($B$10&lt;=7000,Parametros!$J$1,Parametros!$R$1)+SIMULADOR!$E$17*IF($B$10&lt;=7000,VLOOKUP($B$12,Parametros!$E$1:$F$11,2,1),VLOOKUP($B$12,Parametros!$T$1:$U$11,2,1))+IF($B$10&gt;4000,Parametros!$J$2,0)</f>
        <v>1028.617764</v>
      </c>
      <c r="L23" s="17"/>
      <c r="M23" s="20"/>
      <c r="N23" s="20"/>
      <c r="O23" s="1"/>
      <c r="P23" s="6"/>
      <c r="Q23" s="1"/>
    </row>
    <row r="24" ht="13.5" customHeight="1">
      <c r="A24" s="2">
        <v>1800.0</v>
      </c>
      <c r="B24" s="2">
        <v>29000.0</v>
      </c>
      <c r="C24" s="1"/>
      <c r="D24" s="5" t="s">
        <v>47</v>
      </c>
      <c r="E24" s="33">
        <v>12000.0</v>
      </c>
      <c r="F24" s="37">
        <f t="shared" ref="F24:F25" si="3">E24-G24</f>
        <v>3600</v>
      </c>
      <c r="G24" s="37">
        <f>IF(E24*0.7&gt;B20*B17,B20*B17,E24*0.7)</f>
        <v>8400</v>
      </c>
      <c r="H24" s="29">
        <f t="shared" si="2"/>
        <v>148983.7468</v>
      </c>
      <c r="I24" s="30">
        <v>22.0</v>
      </c>
      <c r="J24" s="31">
        <v>0.792</v>
      </c>
      <c r="K24" s="32">
        <f>H24*$E$9/12+$B$21*IF($B$10&lt;=7000,Parametros!$J$1,Parametros!$R$1)+SIMULADOR!$E$17*IF($B$10&lt;=7000,VLOOKUP($B$12,Parametros!$E$1:$F$11,2,1),VLOOKUP($B$12,Parametros!$T$1:$U$11,2,1))+IF($B$10&gt;4000,Parametros!$J$2,0)</f>
        <v>1103.817429</v>
      </c>
      <c r="L24" s="17"/>
      <c r="M24" s="20"/>
      <c r="N24" s="20"/>
      <c r="O24" s="1"/>
      <c r="P24" s="6"/>
      <c r="Q24" s="1"/>
    </row>
    <row r="25" ht="13.5" customHeight="1">
      <c r="A25" s="2">
        <v>2350.0</v>
      </c>
      <c r="B25" s="2">
        <v>14765.0</v>
      </c>
      <c r="C25" s="1"/>
      <c r="D25" s="5" t="s">
        <v>48</v>
      </c>
      <c r="E25" s="37">
        <f>E21-E24</f>
        <v>30800</v>
      </c>
      <c r="F25" s="37">
        <f t="shared" si="3"/>
        <v>28400</v>
      </c>
      <c r="G25" s="37">
        <f>B20*B17-G24</f>
        <v>2400</v>
      </c>
      <c r="H25" s="29">
        <f t="shared" si="2"/>
        <v>159089.0061</v>
      </c>
      <c r="I25" s="30">
        <v>23.0</v>
      </c>
      <c r="J25" s="31">
        <v>0.847</v>
      </c>
      <c r="K25" s="32">
        <f>H25*$E$9/12+$B$21*IF($B$10&lt;=7000,Parametros!$J$1,Parametros!$R$1)+SIMULADOR!$E$17*IF($B$10&lt;=7000,VLOOKUP($B$12,Parametros!$E$1:$F$11,2,1),VLOOKUP($B$12,Parametros!$T$1:$U$11,2,1))+IF($B$10&gt;4000,Parametros!$J$2,0)</f>
        <v>1172.750455</v>
      </c>
      <c r="L25" s="17"/>
      <c r="M25" s="20"/>
      <c r="N25" s="20"/>
      <c r="O25" s="1"/>
      <c r="P25" s="6"/>
      <c r="Q25" s="1"/>
    </row>
    <row r="26" ht="13.5" customHeight="1">
      <c r="A26" s="2">
        <v>2790.0</v>
      </c>
      <c r="B26" s="2">
        <v>6115.0</v>
      </c>
      <c r="C26" s="1"/>
      <c r="D26" s="5" t="s">
        <v>49</v>
      </c>
      <c r="E26" s="50"/>
      <c r="F26" s="50">
        <f>E25/B20</f>
        <v>0.1283333333</v>
      </c>
      <c r="G26" s="51"/>
      <c r="H26" s="29">
        <f t="shared" si="2"/>
        <v>168826.8013</v>
      </c>
      <c r="I26" s="30">
        <v>24.0</v>
      </c>
      <c r="J26" s="31">
        <v>0.9</v>
      </c>
      <c r="K26" s="32">
        <f>H26*$E$9/12+$B$21*IF($B$10&lt;=7000,Parametros!$J$1,Parametros!$R$1)+SIMULADOR!$E$17*IF($B$10&lt;=7000,VLOOKUP($B$12,Parametros!$E$1:$F$11,2,1),VLOOKUP($B$12,Parametros!$T$1:$U$11,2,1))+IF($B$10&gt;4000,Parametros!$J$2,0)</f>
        <v>1239.176825</v>
      </c>
      <c r="L26" s="17"/>
      <c r="M26" s="20"/>
      <c r="N26" s="20"/>
      <c r="O26" s="1"/>
      <c r="P26" s="6"/>
      <c r="Q26" s="1"/>
    </row>
    <row r="27" ht="13.5" customHeight="1">
      <c r="A27" s="2">
        <v>3275.0</v>
      </c>
      <c r="B27" s="2">
        <v>2585.0</v>
      </c>
      <c r="C27" s="1"/>
      <c r="D27" s="52"/>
      <c r="E27" s="53"/>
      <c r="F27" s="53"/>
      <c r="G27" s="53"/>
      <c r="H27" s="29">
        <f t="shared" si="2"/>
        <v>178013.4007</v>
      </c>
      <c r="I27" s="30">
        <v>25.0</v>
      </c>
      <c r="J27" s="31">
        <v>0.95</v>
      </c>
      <c r="K27" s="32">
        <f>H27*$E$9/12+$B$21*IF($B$10&lt;=7000,Parametros!$J$1,Parametros!$R$1)+SIMULADOR!$E$17*IF($B$10&lt;=7000,VLOOKUP($B$12,Parametros!$E$1:$F$11,2,1),VLOOKUP($B$12,Parametros!$T$1:$U$11,2,1))+IF($B$10&gt;4000,Parametros!$J$2,0)</f>
        <v>1301.843213</v>
      </c>
      <c r="L27" s="17"/>
      <c r="M27" s="20"/>
      <c r="N27" s="20"/>
      <c r="O27" s="1"/>
      <c r="P27" s="6"/>
      <c r="Q27" s="1"/>
    </row>
    <row r="28" ht="13.5" customHeight="1">
      <c r="A28" s="2">
        <v>4000.0</v>
      </c>
      <c r="B28" s="2"/>
      <c r="C28" s="1"/>
      <c r="D28" s="52"/>
      <c r="E28" s="53"/>
      <c r="F28" s="53"/>
      <c r="G28" s="53"/>
      <c r="H28" s="29">
        <f t="shared" si="2"/>
        <v>183525.3603</v>
      </c>
      <c r="I28" s="30">
        <v>26.0</v>
      </c>
      <c r="J28" s="31">
        <v>0.98</v>
      </c>
      <c r="K28" s="32">
        <f>H28*$E$9/12+$B$21*IF($B$10&lt;=7000,Parametros!$J$1,Parametros!$R$1)+SIMULADOR!$E$17*IF($B$10&lt;=7000,VLOOKUP($B$12,Parametros!$E$1:$F$11,2,1),VLOOKUP($B$12,Parametros!$T$1:$U$11,2,1))+IF($B$10&gt;4000,Parametros!$J$2,0)</f>
        <v>1339.443045</v>
      </c>
      <c r="L28" s="17"/>
      <c r="M28" s="20"/>
      <c r="N28" s="20"/>
      <c r="O28" s="1"/>
      <c r="P28" s="6"/>
      <c r="Q28" s="1"/>
    </row>
    <row r="29" ht="13.5" customHeight="1">
      <c r="A29" s="2"/>
      <c r="B29" s="2"/>
      <c r="C29" s="1"/>
      <c r="D29" s="52"/>
      <c r="E29" s="53"/>
      <c r="F29" s="53"/>
      <c r="G29" s="53"/>
      <c r="H29" s="29">
        <f t="shared" si="2"/>
        <v>187200</v>
      </c>
      <c r="I29" s="30">
        <v>27.0</v>
      </c>
      <c r="J29" s="31">
        <v>1.0</v>
      </c>
      <c r="K29" s="32">
        <f>H29*$E$9/12+$B$21*IF($B$10&lt;=7000,Parametros!$J$1,Parametros!$R$1)+SIMULADOR!$E$17*IF($B$10&lt;=7000,VLOOKUP($B$12,Parametros!$E$1:$F$11,2,1),VLOOKUP($B$12,Parametros!$T$1:$U$11,2,1))+IF($B$10&gt;4000,Parametros!$J$2,0)</f>
        <v>1364.5096</v>
      </c>
      <c r="L29" s="20"/>
      <c r="M29" s="20"/>
      <c r="N29" s="20"/>
      <c r="O29" s="1"/>
      <c r="P29" s="6"/>
      <c r="Q29" s="1"/>
    </row>
    <row r="30" ht="13.5" customHeight="1">
      <c r="A30" s="42"/>
      <c r="B30" s="42"/>
      <c r="C30" s="1"/>
      <c r="D30" s="52"/>
      <c r="E30" s="54"/>
      <c r="F30" s="54"/>
      <c r="G30" s="54"/>
      <c r="H30" s="1"/>
      <c r="I30" s="1"/>
      <c r="J30" s="1"/>
      <c r="K30" s="1"/>
      <c r="L30" s="20"/>
      <c r="M30" s="20"/>
      <c r="N30" s="20"/>
      <c r="O30" s="1"/>
      <c r="P30" s="6"/>
      <c r="Q30" s="1"/>
    </row>
    <row r="31" ht="13.5" customHeight="1">
      <c r="A31" s="42"/>
      <c r="B31" s="42"/>
      <c r="C31" s="1"/>
      <c r="D31" s="55"/>
      <c r="E31" s="55"/>
      <c r="F31" s="55"/>
      <c r="G31" s="55"/>
      <c r="H31" s="1"/>
      <c r="I31" s="1"/>
      <c r="J31" s="1"/>
      <c r="K31" s="1"/>
      <c r="L31" s="20"/>
      <c r="M31" s="20"/>
      <c r="N31" s="20"/>
      <c r="O31" s="1"/>
      <c r="P31" s="6"/>
      <c r="Q31" s="1"/>
    </row>
    <row r="32" ht="13.5" customHeight="1">
      <c r="A32" s="42"/>
      <c r="B32" s="42"/>
      <c r="C32" s="1"/>
      <c r="D32" s="8"/>
      <c r="E32" s="1"/>
      <c r="F32" s="1"/>
      <c r="G32" s="1"/>
      <c r="H32" s="1"/>
      <c r="I32" s="1"/>
      <c r="J32" s="1"/>
      <c r="K32" s="1"/>
      <c r="L32" s="20"/>
      <c r="M32" s="20"/>
      <c r="N32" s="20"/>
      <c r="O32" s="1"/>
      <c r="P32" s="6"/>
      <c r="Q32" s="1"/>
    </row>
    <row r="33" ht="13.5" customHeight="1">
      <c r="A33" s="42"/>
      <c r="B33" s="42"/>
      <c r="C33" s="1"/>
      <c r="D33" s="8"/>
      <c r="E33" s="1"/>
      <c r="F33" s="1"/>
      <c r="G33" s="1"/>
      <c r="H33" s="1"/>
      <c r="I33" s="1"/>
      <c r="J33" s="1"/>
      <c r="K33" s="1"/>
      <c r="L33" s="20"/>
      <c r="M33" s="20"/>
      <c r="N33" s="20"/>
      <c r="O33" s="1"/>
      <c r="P33" s="6"/>
      <c r="Q33" s="1"/>
    </row>
    <row r="34" ht="13.5" customHeight="1">
      <c r="A34" s="1"/>
      <c r="B34" s="1"/>
      <c r="C34" s="1"/>
      <c r="D34" s="8"/>
      <c r="E34" s="1"/>
      <c r="F34" s="1"/>
      <c r="G34" s="1"/>
      <c r="H34" s="1"/>
      <c r="I34" s="1"/>
      <c r="J34" s="1"/>
      <c r="K34" s="1"/>
      <c r="L34" s="20"/>
      <c r="M34" s="20"/>
      <c r="N34" s="20"/>
      <c r="O34" s="1"/>
      <c r="P34" s="6"/>
      <c r="Q34" s="1"/>
    </row>
    <row r="35" ht="14.25" customHeight="1">
      <c r="A35" s="1"/>
      <c r="B35" s="1"/>
      <c r="C35" s="1"/>
      <c r="D35" s="8"/>
      <c r="E35" s="1"/>
      <c r="F35" s="1"/>
      <c r="G35" s="1"/>
      <c r="H35" s="1"/>
      <c r="I35" s="1"/>
      <c r="J35" s="1"/>
      <c r="K35" s="1"/>
      <c r="L35" s="56"/>
      <c r="M35" s="56"/>
      <c r="N35" s="56"/>
      <c r="O35" s="1"/>
      <c r="P35" s="6"/>
      <c r="Q35" s="57"/>
    </row>
    <row r="36" ht="14.25" customHeight="1">
      <c r="A36" s="1"/>
      <c r="B36" s="1"/>
      <c r="C36" s="1"/>
      <c r="D36" s="8"/>
      <c r="E36" s="1"/>
      <c r="F36" s="1"/>
      <c r="G36" s="1"/>
      <c r="H36" s="1"/>
      <c r="I36" s="1"/>
      <c r="J36" s="1"/>
      <c r="K36" s="1"/>
      <c r="L36" s="20"/>
      <c r="M36" s="20"/>
      <c r="N36" s="20"/>
      <c r="O36" s="1"/>
      <c r="P36" s="6"/>
      <c r="Q36" s="1"/>
    </row>
    <row r="37" ht="14.25" customHeight="1">
      <c r="A37" s="1"/>
      <c r="B37" s="58"/>
      <c r="C37" s="1"/>
      <c r="D37" s="7"/>
      <c r="E37" s="7"/>
      <c r="F37" s="1"/>
      <c r="G37" s="59"/>
      <c r="H37" s="1"/>
      <c r="I37" s="1"/>
      <c r="J37" s="1"/>
      <c r="K37" s="1"/>
      <c r="L37" s="20"/>
      <c r="M37" s="20"/>
      <c r="N37" s="20"/>
      <c r="O37" s="1"/>
      <c r="P37" s="6"/>
      <c r="Q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0"/>
      <c r="M38" s="20"/>
      <c r="N38" s="20"/>
      <c r="O38" s="1"/>
      <c r="P38" s="6"/>
      <c r="Q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0"/>
      <c r="M39" s="20"/>
      <c r="N39" s="20"/>
      <c r="O39" s="1"/>
      <c r="P39" s="6"/>
      <c r="Q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0"/>
      <c r="M40" s="20"/>
      <c r="N40" s="20"/>
      <c r="O40" s="1"/>
      <c r="P40" s="6"/>
      <c r="Q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0"/>
      <c r="M41" s="20"/>
      <c r="N41" s="20"/>
      <c r="O41" s="1"/>
      <c r="P41" s="6"/>
      <c r="Q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0"/>
      <c r="M42" s="20"/>
      <c r="N42" s="20"/>
      <c r="O42" s="1"/>
      <c r="P42" s="6"/>
      <c r="Q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0"/>
      <c r="M43" s="20"/>
      <c r="N43" s="20"/>
      <c r="O43" s="1"/>
      <c r="P43" s="6"/>
      <c r="Q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0"/>
      <c r="M44" s="20"/>
      <c r="N44" s="20"/>
      <c r="O44" s="1"/>
      <c r="P44" s="6"/>
      <c r="Q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0"/>
      <c r="M45" s="20"/>
      <c r="N45" s="20"/>
      <c r="O45" s="1"/>
      <c r="P45" s="6"/>
      <c r="Q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0"/>
      <c r="M46" s="20"/>
      <c r="N46" s="20"/>
      <c r="O46" s="1"/>
      <c r="P46" s="6"/>
      <c r="Q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0"/>
      <c r="M47" s="20"/>
      <c r="N47" s="20"/>
      <c r="O47" s="1"/>
      <c r="P47" s="6"/>
      <c r="Q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0"/>
      <c r="M48" s="20"/>
      <c r="N48" s="20"/>
      <c r="O48" s="1"/>
      <c r="P48" s="6"/>
      <c r="Q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0"/>
      <c r="M49" s="20"/>
      <c r="N49" s="20"/>
      <c r="O49" s="1"/>
      <c r="P49" s="6"/>
      <c r="Q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0"/>
      <c r="M50" s="20"/>
      <c r="N50" s="20"/>
      <c r="O50" s="1"/>
      <c r="P50" s="6"/>
      <c r="Q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"/>
      <c r="M51" s="20"/>
      <c r="N51" s="20"/>
      <c r="O51" s="1"/>
      <c r="P51" s="6"/>
      <c r="Q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0"/>
      <c r="M52" s="20"/>
      <c r="N52" s="20"/>
      <c r="O52" s="1"/>
      <c r="P52" s="6"/>
      <c r="Q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0"/>
      <c r="M53" s="20"/>
      <c r="N53" s="20"/>
      <c r="O53" s="1"/>
      <c r="P53" s="6"/>
      <c r="Q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"/>
      <c r="M54" s="20"/>
      <c r="N54" s="20"/>
      <c r="O54" s="1"/>
      <c r="P54" s="6"/>
      <c r="Q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0"/>
      <c r="M55" s="20"/>
      <c r="N55" s="20"/>
      <c r="O55" s="1"/>
      <c r="P55" s="6"/>
      <c r="Q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0"/>
      <c r="M56" s="20"/>
      <c r="N56" s="20"/>
      <c r="O56" s="1"/>
      <c r="P56" s="6"/>
      <c r="Q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0"/>
      <c r="M57" s="20"/>
      <c r="N57" s="20"/>
      <c r="O57" s="1"/>
      <c r="P57" s="6"/>
      <c r="Q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0"/>
      <c r="M58" s="20"/>
      <c r="N58" s="20"/>
      <c r="O58" s="1"/>
      <c r="P58" s="6"/>
      <c r="Q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0"/>
      <c r="M59" s="20"/>
      <c r="N59" s="20"/>
      <c r="O59" s="1"/>
      <c r="P59" s="6"/>
      <c r="Q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0"/>
      <c r="M60" s="20"/>
      <c r="N60" s="20"/>
      <c r="O60" s="1"/>
      <c r="P60" s="6"/>
      <c r="Q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0"/>
      <c r="M61" s="20"/>
      <c r="N61" s="20"/>
      <c r="O61" s="1"/>
      <c r="P61" s="6"/>
      <c r="Q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0"/>
      <c r="M62" s="20"/>
      <c r="N62" s="20"/>
      <c r="O62" s="1"/>
      <c r="P62" s="6"/>
      <c r="Q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0"/>
      <c r="M63" s="20"/>
      <c r="N63" s="20"/>
      <c r="O63" s="1"/>
      <c r="P63" s="6"/>
      <c r="Q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0"/>
      <c r="M64" s="20"/>
      <c r="N64" s="20"/>
      <c r="O64" s="1"/>
      <c r="P64" s="6"/>
      <c r="Q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0"/>
      <c r="M65" s="20"/>
      <c r="N65" s="20"/>
      <c r="O65" s="1"/>
      <c r="P65" s="6"/>
      <c r="Q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0"/>
      <c r="M66" s="20"/>
      <c r="N66" s="20"/>
      <c r="O66" s="1"/>
      <c r="P66" s="6"/>
      <c r="Q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0"/>
      <c r="M67" s="20"/>
      <c r="N67" s="20"/>
      <c r="O67" s="1"/>
      <c r="P67" s="6"/>
      <c r="Q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0"/>
      <c r="M68" s="20"/>
      <c r="N68" s="20"/>
      <c r="O68" s="1"/>
      <c r="P68" s="6"/>
      <c r="Q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0"/>
      <c r="M69" s="20"/>
      <c r="N69" s="20"/>
      <c r="O69" s="1"/>
      <c r="P69" s="6"/>
      <c r="Q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0"/>
      <c r="M70" s="20"/>
      <c r="N70" s="20"/>
      <c r="O70" s="1"/>
      <c r="P70" s="6"/>
      <c r="Q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0"/>
      <c r="M71" s="20"/>
      <c r="N71" s="20"/>
      <c r="O71" s="1"/>
      <c r="P71" s="6"/>
      <c r="Q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0"/>
      <c r="M72" s="20"/>
      <c r="N72" s="20"/>
      <c r="O72" s="1"/>
      <c r="P72" s="6"/>
      <c r="Q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0"/>
      <c r="M73" s="20"/>
      <c r="N73" s="20"/>
      <c r="O73" s="1"/>
      <c r="P73" s="6"/>
      <c r="Q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0"/>
      <c r="M74" s="20"/>
      <c r="N74" s="20"/>
      <c r="O74" s="1"/>
      <c r="P74" s="6"/>
      <c r="Q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0"/>
      <c r="M75" s="20"/>
      <c r="N75" s="20"/>
      <c r="O75" s="1"/>
      <c r="P75" s="6"/>
      <c r="Q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0"/>
      <c r="M76" s="20"/>
      <c r="N76" s="20"/>
      <c r="O76" s="1"/>
      <c r="P76" s="6"/>
      <c r="Q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0"/>
      <c r="M77" s="20"/>
      <c r="N77" s="20"/>
      <c r="O77" s="1"/>
      <c r="P77" s="6"/>
      <c r="Q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0"/>
      <c r="M78" s="20"/>
      <c r="N78" s="20"/>
      <c r="O78" s="1"/>
      <c r="P78" s="6"/>
      <c r="Q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0"/>
      <c r="M79" s="20"/>
      <c r="N79" s="20"/>
      <c r="O79" s="1"/>
      <c r="P79" s="6"/>
      <c r="Q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0"/>
      <c r="M80" s="20"/>
      <c r="N80" s="20"/>
      <c r="O80" s="1"/>
      <c r="P80" s="6"/>
      <c r="Q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0"/>
      <c r="M81" s="20"/>
      <c r="N81" s="20"/>
      <c r="O81" s="1"/>
      <c r="P81" s="6"/>
      <c r="Q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0"/>
      <c r="M82" s="20"/>
      <c r="N82" s="20"/>
      <c r="O82" s="1"/>
      <c r="P82" s="6"/>
      <c r="Q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0"/>
      <c r="M83" s="20"/>
      <c r="N83" s="20"/>
      <c r="O83" s="1"/>
      <c r="P83" s="6"/>
      <c r="Q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0"/>
      <c r="M84" s="20"/>
      <c r="N84" s="20"/>
      <c r="O84" s="1"/>
      <c r="P84" s="6"/>
      <c r="Q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0"/>
      <c r="M85" s="20"/>
      <c r="N85" s="20"/>
      <c r="O85" s="1"/>
      <c r="P85" s="6"/>
      <c r="Q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0"/>
      <c r="M86" s="20"/>
      <c r="N86" s="20"/>
      <c r="O86" s="1"/>
      <c r="P86" s="6"/>
      <c r="Q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0"/>
      <c r="M87" s="20"/>
      <c r="N87" s="20"/>
      <c r="O87" s="1"/>
      <c r="P87" s="6"/>
      <c r="Q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0"/>
      <c r="M88" s="20"/>
      <c r="N88" s="20"/>
      <c r="O88" s="1"/>
      <c r="P88" s="6"/>
      <c r="Q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0"/>
      <c r="M89" s="20"/>
      <c r="N89" s="20"/>
      <c r="O89" s="1"/>
      <c r="P89" s="6"/>
      <c r="Q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0"/>
      <c r="M90" s="20"/>
      <c r="N90" s="20"/>
      <c r="O90" s="1"/>
      <c r="P90" s="6"/>
      <c r="Q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0"/>
      <c r="M91" s="20"/>
      <c r="N91" s="20"/>
      <c r="O91" s="1"/>
      <c r="P91" s="6"/>
      <c r="Q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0"/>
      <c r="M92" s="20"/>
      <c r="N92" s="20"/>
      <c r="O92" s="1"/>
      <c r="P92" s="6"/>
      <c r="Q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0"/>
      <c r="M93" s="20"/>
      <c r="N93" s="20"/>
      <c r="O93" s="1"/>
      <c r="P93" s="6"/>
      <c r="Q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0"/>
      <c r="M94" s="20"/>
      <c r="N94" s="20"/>
      <c r="O94" s="1"/>
      <c r="P94" s="6"/>
      <c r="Q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0"/>
      <c r="M95" s="20"/>
      <c r="N95" s="20"/>
      <c r="O95" s="1"/>
      <c r="P95" s="6"/>
      <c r="Q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0"/>
      <c r="M96" s="20"/>
      <c r="N96" s="20"/>
      <c r="O96" s="1"/>
      <c r="P96" s="6"/>
      <c r="Q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0"/>
      <c r="M97" s="20"/>
      <c r="N97" s="20"/>
      <c r="O97" s="1"/>
      <c r="P97" s="6"/>
      <c r="Q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0"/>
      <c r="M98" s="20"/>
      <c r="N98" s="20"/>
      <c r="O98" s="1"/>
      <c r="P98" s="6"/>
      <c r="Q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0"/>
      <c r="M99" s="20"/>
      <c r="N99" s="20"/>
      <c r="O99" s="1"/>
      <c r="P99" s="6"/>
      <c r="Q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0"/>
      <c r="M100" s="20"/>
      <c r="N100" s="20"/>
      <c r="O100" s="1"/>
      <c r="P100" s="6"/>
      <c r="Q100" s="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D1:F2"/>
    <mergeCell ref="D4:E5"/>
    <mergeCell ref="F4:F5"/>
    <mergeCell ref="E6:F6"/>
    <mergeCell ref="E7:F7"/>
  </mergeCells>
  <dataValidations>
    <dataValidation type="list" allowBlank="1" showErrorMessage="1" sqref="B19">
      <formula1>"2 dorms"</formula1>
    </dataValidation>
    <dataValidation type="list" allowBlank="1" showErrorMessage="1" sqref="F15">
      <formula1>$N$12:$N$13</formula1>
    </dataValidation>
    <dataValidation type="list" allowBlank="1" showErrorMessage="1" sqref="B14:B15 B18">
      <formula1>Parametros!$A$3:$A$4</formula1>
    </dataValidation>
    <dataValidation type="list" allowBlank="1" showErrorMessage="1" sqref="B29">
      <formula1>Parametros!$I$8:$I$9</formula1>
    </dataValidation>
    <dataValidation type="list" allowBlank="1" showErrorMessage="1" sqref="B36">
      <formula1>Parametros!$J$18:$J$19</formula1>
    </dataValidation>
    <dataValidation type="list" allowBlank="1" showErrorMessage="1" sqref="B13">
      <formula1>Parametros!$A$7:$A$11</formula1>
    </dataValidation>
  </dataValidations>
  <hyperlinks>
    <hyperlink r:id="rId2" ref="E7"/>
  </hyperlinks>
  <printOptions/>
  <pageMargins bottom="0.75" footer="0.0" header="0.0" left="0.25" right="0.25" top="0.75"/>
  <pageSetup paperSize="9" orientation="landscape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71"/>
    <col customWidth="1" min="9" max="9" width="15.43"/>
    <col customWidth="1" min="10" max="10" width="16.14"/>
    <col customWidth="1" min="11" max="17" width="8.71"/>
    <col customWidth="1" min="18" max="18" width="13.29"/>
    <col customWidth="1" min="19" max="21" width="8.71"/>
  </cols>
  <sheetData>
    <row r="1" ht="14.25" customHeight="1">
      <c r="A1" s="60" t="s">
        <v>50</v>
      </c>
      <c r="E1" s="60">
        <v>0.0</v>
      </c>
      <c r="F1" s="61">
        <v>1.0E-4</v>
      </c>
      <c r="G1" s="60" t="s">
        <v>51</v>
      </c>
      <c r="I1" s="60" t="s">
        <v>52</v>
      </c>
      <c r="J1" s="62">
        <v>7.3E-5</v>
      </c>
      <c r="Q1" s="60" t="s">
        <v>53</v>
      </c>
      <c r="R1" s="62">
        <v>7.8E-5</v>
      </c>
      <c r="T1" s="60">
        <v>0.0</v>
      </c>
      <c r="U1" s="61">
        <v>1.15E-4</v>
      </c>
    </row>
    <row r="2" ht="14.25" customHeight="1">
      <c r="E2" s="60">
        <v>31.0</v>
      </c>
      <c r="F2" s="61">
        <v>1.15E-4</v>
      </c>
      <c r="I2" s="60" t="s">
        <v>54</v>
      </c>
      <c r="J2" s="60">
        <v>25.0</v>
      </c>
      <c r="T2" s="60">
        <v>26.0</v>
      </c>
      <c r="U2" s="61">
        <v>1.21E-4</v>
      </c>
    </row>
    <row r="3" ht="14.25" customHeight="1">
      <c r="A3" s="60" t="s">
        <v>28</v>
      </c>
      <c r="E3" s="60">
        <v>36.0</v>
      </c>
      <c r="F3" s="61">
        <v>1.06E-4</v>
      </c>
      <c r="T3" s="60">
        <v>31.0</v>
      </c>
      <c r="U3" s="61">
        <v>1.78E-4</v>
      </c>
    </row>
    <row r="4" ht="14.25" customHeight="1">
      <c r="A4" s="60" t="s">
        <v>26</v>
      </c>
      <c r="E4" s="60">
        <v>41.0</v>
      </c>
      <c r="F4" s="61">
        <v>2.5E-4</v>
      </c>
      <c r="T4" s="60">
        <v>36.0</v>
      </c>
      <c r="U4" s="61">
        <v>2.34E-4</v>
      </c>
    </row>
    <row r="5" ht="14.25" customHeight="1">
      <c r="E5" s="60">
        <v>46.0</v>
      </c>
      <c r="F5" s="61">
        <v>3.7E-4</v>
      </c>
      <c r="T5" s="60">
        <v>41.0</v>
      </c>
      <c r="U5" s="61">
        <v>3.18E-4</v>
      </c>
    </row>
    <row r="6" ht="14.25" customHeight="1">
      <c r="E6" s="60">
        <v>51.0</v>
      </c>
      <c r="F6" s="61">
        <v>6.8E-4</v>
      </c>
      <c r="T6" s="60">
        <v>46.0</v>
      </c>
      <c r="U6" s="61">
        <v>4.48E-4</v>
      </c>
    </row>
    <row r="7" ht="14.25" customHeight="1">
      <c r="A7" s="60">
        <v>1.0</v>
      </c>
      <c r="E7" s="60">
        <v>56.0</v>
      </c>
      <c r="F7" s="61">
        <v>6.98E-4</v>
      </c>
      <c r="T7" s="60">
        <v>51.0</v>
      </c>
      <c r="U7" s="61">
        <v>7.51E-4</v>
      </c>
    </row>
    <row r="8" ht="14.25" customHeight="1">
      <c r="A8" s="60">
        <v>2.0</v>
      </c>
      <c r="E8" s="60">
        <v>61.0</v>
      </c>
      <c r="F8" s="61">
        <v>0.001365</v>
      </c>
      <c r="I8" s="60" t="s">
        <v>24</v>
      </c>
      <c r="J8" s="60" t="s">
        <v>55</v>
      </c>
      <c r="T8" s="60">
        <v>56.0</v>
      </c>
      <c r="U8" s="61">
        <v>0.001561</v>
      </c>
    </row>
    <row r="9" ht="14.25" customHeight="1">
      <c r="A9" s="60">
        <v>3.0</v>
      </c>
      <c r="E9" s="60">
        <v>66.0</v>
      </c>
      <c r="F9" s="61">
        <v>0.002129</v>
      </c>
      <c r="I9" s="60" t="s">
        <v>56</v>
      </c>
      <c r="J9" s="60" t="s">
        <v>57</v>
      </c>
      <c r="T9" s="60">
        <v>61.0</v>
      </c>
      <c r="U9" s="61">
        <v>0.002781</v>
      </c>
    </row>
    <row r="10" ht="14.25" customHeight="1">
      <c r="A10" s="60">
        <v>4.0</v>
      </c>
      <c r="E10" s="60">
        <v>71.0</v>
      </c>
      <c r="F10" s="61">
        <v>0.003765</v>
      </c>
      <c r="T10" s="60">
        <v>66.0</v>
      </c>
      <c r="U10" s="61">
        <v>0.003549</v>
      </c>
    </row>
    <row r="11" ht="14.25" customHeight="1">
      <c r="A11" s="60">
        <v>5.0</v>
      </c>
      <c r="E11" s="60">
        <v>76.0</v>
      </c>
      <c r="F11" s="61">
        <v>0.004707</v>
      </c>
      <c r="J11" s="60" t="s">
        <v>58</v>
      </c>
      <c r="T11" s="60">
        <v>71.0</v>
      </c>
      <c r="U11" s="61">
        <v>0.004707</v>
      </c>
    </row>
    <row r="12" ht="14.25" customHeight="1">
      <c r="T12" s="60">
        <v>76.0</v>
      </c>
      <c r="U12" s="61">
        <v>0.004707</v>
      </c>
    </row>
    <row r="13" ht="14.25" customHeight="1">
      <c r="J13" s="60" t="s">
        <v>59</v>
      </c>
    </row>
    <row r="14" ht="14.25" customHeight="1"/>
    <row r="15" ht="14.25" customHeight="1"/>
    <row r="16" ht="14.25" customHeight="1">
      <c r="E16" s="60">
        <v>41.0</v>
      </c>
      <c r="F16" s="63">
        <f>VLOOKUP(E16,$E$1:$F$11,2,1)</f>
        <v>0.00025</v>
      </c>
    </row>
    <row r="17" ht="14.25" customHeight="1"/>
    <row r="18" ht="14.25" customHeight="1">
      <c r="I18" s="60" t="s">
        <v>60</v>
      </c>
      <c r="J18" s="60" t="s">
        <v>61</v>
      </c>
    </row>
    <row r="19" ht="14.25" customHeight="1">
      <c r="J19" s="60" t="s">
        <v>62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